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35" windowWidth="20730" windowHeight="5265" tabRatio="856" activeTab="0"/>
  </bookViews>
  <sheets>
    <sheet name="УПРАВА " sheetId="1" r:id="rId1"/>
  </sheets>
  <definedNames>
    <definedName name="_xlnm.Print_Area" localSheetId="0">'УПРАВА '!$A$1:$F$193</definedName>
  </definedNames>
  <calcPr fullCalcOnLoad="1"/>
</workbook>
</file>

<file path=xl/comments1.xml><?xml version="1.0" encoding="utf-8"?>
<comments xmlns="http://schemas.openxmlformats.org/spreadsheetml/2006/main">
  <authors>
    <author>Violeta</author>
    <author>Зденка</author>
    <author>Pc</author>
    <author>krstanoski serdzo</author>
  </authors>
  <commentList>
    <comment ref="N44" authorId="0">
      <text>
        <r>
          <rPr>
            <b/>
            <sz val="9"/>
            <rFont val="Tahoma"/>
            <family val="2"/>
          </rPr>
          <t>Violeta:</t>
        </r>
        <r>
          <rPr>
            <sz val="9"/>
            <rFont val="Tahoma"/>
            <family val="2"/>
          </rPr>
          <t xml:space="preserve">
пренос на ЦК</t>
        </r>
      </text>
    </comment>
    <comment ref="C16" authorId="1">
      <text>
        <r>
          <rPr>
            <b/>
            <sz val="9"/>
            <rFont val="Tahoma"/>
            <family val="2"/>
          </rPr>
          <t>Зденка:</t>
        </r>
        <r>
          <rPr>
            <sz val="9"/>
            <rFont val="Tahoma"/>
            <family val="2"/>
          </rPr>
          <t xml:space="preserve">
-50.000,00 130 30 извор 01 0602-0001</t>
        </r>
      </text>
    </comment>
    <comment ref="C60" authorId="1">
      <text>
        <r>
          <rPr>
            <b/>
            <sz val="9"/>
            <rFont val="Tahoma"/>
            <family val="2"/>
          </rPr>
          <t>Зденка:</t>
        </r>
        <r>
          <rPr>
            <sz val="9"/>
            <rFont val="Tahoma"/>
            <family val="2"/>
          </rPr>
          <t xml:space="preserve">
-  procena rizika Kostolac-usluge
</t>
        </r>
      </text>
    </comment>
    <comment ref="C63" authorId="1">
      <text>
        <r>
          <rPr>
            <b/>
            <sz val="9"/>
            <rFont val="Tahoma"/>
            <family val="2"/>
          </rPr>
          <t>Зденка:</t>
        </r>
        <r>
          <rPr>
            <sz val="9"/>
            <rFont val="Tahoma"/>
            <family val="2"/>
          </rPr>
          <t xml:space="preserve">
-165.100,00 за 2018.(Трбовић 5.000,00, Обезбеђење 48.000,00, Радио СТИЛ 38.100,00, Ла Фантана 18.000,  за 4 месеца, фотографске услуге 20.000,00 и Максима 36.000,00)
-60.000,00 Трбовић
-897.000,00 обезбеђење 1 радник
-460.000,00 фотографске
-240.000,00 Радио СТИЛ
</t>
        </r>
      </text>
    </comment>
    <comment ref="C38" authorId="1">
      <text>
        <r>
          <rPr>
            <b/>
            <sz val="9"/>
            <rFont val="Tahoma"/>
            <family val="2"/>
          </rPr>
          <t>Зденка:</t>
        </r>
        <r>
          <rPr>
            <sz val="9"/>
            <rFont val="Tahoma"/>
            <family val="2"/>
          </rPr>
          <t xml:space="preserve">
- Чланарина за кластер
</t>
        </r>
      </text>
    </comment>
    <comment ref="C45" authorId="1">
      <text>
        <r>
          <rPr>
            <b/>
            <sz val="9"/>
            <rFont val="Tahoma"/>
            <family val="2"/>
          </rPr>
          <t>Зденка:</t>
        </r>
        <r>
          <rPr>
            <sz val="9"/>
            <rFont val="Tahoma"/>
            <family val="2"/>
          </rPr>
          <t xml:space="preserve">
- 2 radnika
</t>
        </r>
      </text>
    </comment>
    <comment ref="C72" authorId="1">
      <text>
        <r>
          <rPr>
            <b/>
            <sz val="9"/>
            <rFont val="Tahoma"/>
            <family val="2"/>
          </rPr>
          <t>Зденка:</t>
        </r>
        <r>
          <rPr>
            <sz val="9"/>
            <rFont val="Tahoma"/>
            <family val="2"/>
          </rPr>
          <t xml:space="preserve">
-153.000,00 из 2018. (возач 58.000,00, домар 47.000,00 и кафе-кухиња 48.000,00)
-897.000,00 возач
-637.000,00 домар
-691.000,00 кафе-кухиња
-400.000,00 ватромет
</t>
        </r>
      </text>
    </comment>
    <comment ref="C28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-45.500,00 из 2018
-1.382.000,00 2 читачице</t>
        </r>
      </text>
    </comment>
    <comment ref="C46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-35.583,00 из 2018.
-36.000,00 месечно за 11 месеци = 396.000,00</t>
        </r>
      </text>
    </comment>
    <comment ref="C47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-52.200,00 из 2018.
-240.000,00 за 2019.
</t>
        </r>
      </text>
    </comment>
    <comment ref="C62" authorId="2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-33.000,00 резервисано за Ла Фантану до марта</t>
        </r>
      </text>
    </comment>
    <comment ref="C51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-80.000,00 Форум медиа
</t>
        </r>
      </text>
    </comment>
    <comment ref="C110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-2.000.000,00 набавка тартана извор 01
</t>
        </r>
      </text>
    </comment>
    <comment ref="C155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-7.860.600,00 Унутрашње уређење спортске хале извор 01</t>
        </r>
      </text>
    </comment>
    <comment ref="C172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-480.000,00 јарболи извор 01
</t>
        </r>
      </text>
    </comment>
    <comment ref="C163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-454.000,00 ЛЕД екран извор 01</t>
        </r>
      </text>
    </comment>
    <comment ref="C165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-31.433,00 клима уређај 1 ком. Извор 13
-103.980,00 фрижидер 2 ком. Извор 13
-11.780,00 индукциони решо 2 ком. Извор 13
-29.990,00 вертикални замрзивач 1 ком. Извор 13
-168.588,00 сушач за руке 2 ком. Извор 13
</t>
        </r>
      </text>
    </comment>
    <comment ref="C161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-155.190,00 трпезаријски сто 1 ком. Извор 13
-33.060,00 трпезаријске столице 6 ком. Извор 13
-13.140,00 кухињски елементи извор 13
-7.240,00 судопера извор 13
-14.760,00 ормарић за купатило 2 ком. Извор 13
</t>
        </r>
      </text>
    </comment>
    <comment ref="C164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-325.584,00 видео надзор извор 13</t>
        </r>
      </text>
    </comment>
    <comment ref="C174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-1.080.000,00 скулптура Ђорђе Вајферт извор 13</t>
        </r>
      </text>
    </comment>
    <comment ref="C149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-162.252,00 Топлификација Петка извор 13 БФЗЖС
-872.023,00 Топлификација локала извор 13 БФЗЖС
-11.123.720,00 Топлификација С.Костолац проширење северни и јужни крак извор 13 БФЗЖС
-3.014.764,00 Топлификација С.Костолац проширење за језеро извор 13 БФЗЖС
-9.667,746,00 Топлификација Базенска извор 13 БФЗЖС
-2.522,00 Топлификација  "Дидино село" извор 13 БФЗЖС
-1.412,00 Топлификација Колиште извор 13 БФЗЖС
-40.000.000,00 Топлификација пијаца извор 13 БФЗЖС
</t>
        </r>
      </text>
    </comment>
    <comment ref="C151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-15.000.000,00 Дрворед 1.фаза извор 13 БФЗЖС
-46.69.542,00 Дрворед 2.фаза извор 13 БФЗЖС
</t>
        </r>
      </text>
    </comment>
    <comment ref="C148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-1.944.893,00 канализација Првомајска извор 13 БФЗЖС</t>
        </r>
      </text>
    </comment>
    <comment ref="C158" authorId="1">
      <text>
        <r>
          <rPr>
            <b/>
            <sz val="9"/>
            <rFont val="Tahoma"/>
            <family val="0"/>
          </rPr>
          <t>Зденка:</t>
        </r>
        <r>
          <rPr>
            <sz val="9"/>
            <rFont val="Tahoma"/>
            <family val="0"/>
          </rPr>
          <t xml:space="preserve">
-пројекти извор 13 БФЗЖС</t>
        </r>
      </text>
    </comment>
    <comment ref="C104" authorId="3">
      <text>
        <r>
          <rPr>
            <b/>
            <sz val="9"/>
            <rFont val="Tahoma"/>
            <family val="0"/>
          </rPr>
          <t>krstanoski serdzo:</t>
        </r>
        <r>
          <rPr>
            <sz val="9"/>
            <rFont val="Tahoma"/>
            <family val="0"/>
          </rPr>
          <t xml:space="preserve">
lopte ,mreze ,rekviziti za sport</t>
        </r>
      </text>
    </comment>
  </commentList>
</comments>
</file>

<file path=xl/sharedStrings.xml><?xml version="1.0" encoding="utf-8"?>
<sst xmlns="http://schemas.openxmlformats.org/spreadsheetml/2006/main" count="203" uniqueCount="197">
  <si>
    <t>Конто</t>
  </si>
  <si>
    <t>Опис</t>
  </si>
  <si>
    <t>Приходи из буџета</t>
  </si>
  <si>
    <t>Плате и додаци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</si>
  <si>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</si>
  <si>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</si>
  <si>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</si>
  <si>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</si>
  <si>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</si>
  <si>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</si>
  <si>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
посла</t>
  </si>
  <si>
    <t>Расходи за образовање деце запослених</t>
  </si>
  <si>
    <t>Помоћ у медицинском лечењу запосленог или 
члана уже породице</t>
  </si>
  <si>
    <t>Накнаде за запослене</t>
  </si>
  <si>
    <t>Накнаде, бонуси и остали посебни расходи</t>
  </si>
  <si>
    <t>Стални трошкови</t>
  </si>
  <si>
    <t>Закуп имовине и опреме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</si>
  <si>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</si>
  <si>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</si>
  <si>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</si>
  <si>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</si>
  <si>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Услуге образовања и усавршавања запослених</t>
  </si>
  <si>
    <t>Репрезентација</t>
  </si>
  <si>
    <t>Остале опште услуге</t>
  </si>
  <si>
    <t>Специјализоване услуге</t>
  </si>
  <si>
    <t>Услуге одржавања аутопутева</t>
  </si>
  <si>
    <t>Услуге одржавања националних паркова и природних површина</t>
  </si>
  <si>
    <t>Остале специјализоване услуге</t>
  </si>
  <si>
    <t>Текуће поправке и одржавање (услуге и материјали)</t>
  </si>
  <si>
    <t>Материјал</t>
  </si>
  <si>
    <t>Медицински и лабораторијски материјали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</si>
  <si>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</si>
  <si>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</si>
  <si>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</si>
  <si>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</si>
  <si>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</si>
  <si>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</si>
  <si>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</si>
  <si>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</si>
  <si>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</si>
  <si>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</si>
  <si>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Порези, обавезне таксе и казне наметнуте од једног нивоа власти</t>
  </si>
  <si>
    <t>Остали порези</t>
  </si>
  <si>
    <t>Новчане казне наметнуте од једног нивоа власти другом</t>
  </si>
  <si>
    <t>Зграде и грађевински објекти</t>
  </si>
  <si>
    <t>Куповина зграда и објеката</t>
  </si>
  <si>
    <t>Машине и опрема</t>
  </si>
  <si>
    <t>Опрема за саобраћај</t>
  </si>
  <si>
    <t>Опрема за пољопривреду</t>
  </si>
  <si>
    <t>Опрема за очување животне средине и науку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</si>
  <si>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</si>
  <si>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</si>
  <si>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</si>
  <si>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</si>
  <si>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Нематеријална имовина</t>
  </si>
  <si>
    <t>Земљиште</t>
  </si>
  <si>
    <t>Шуме и воде</t>
  </si>
  <si>
    <t>Шуме</t>
  </si>
  <si>
    <t>УКУПНО:</t>
  </si>
  <si>
    <t>Извори финансирања:</t>
  </si>
  <si>
    <t>01</t>
  </si>
  <si>
    <t>04</t>
  </si>
  <si>
    <t>Сопствени приходи</t>
  </si>
  <si>
    <t>НАЧЕЛНИК УПРАВЕ 
ГРАДСКЕ ОПШТИНЕ КОСТОЛАЦ</t>
  </si>
  <si>
    <t>Донације невладиним огранизацијама</t>
  </si>
  <si>
    <t>Средства резерве</t>
  </si>
  <si>
    <t>13</t>
  </si>
  <si>
    <t>% извршења</t>
  </si>
  <si>
    <t>јп</t>
  </si>
  <si>
    <t>рев</t>
  </si>
  <si>
    <t>зах</t>
  </si>
  <si>
    <t xml:space="preserve">Остали трошкови </t>
  </si>
  <si>
    <t>Нераспоређени вишак из ранијих година</t>
  </si>
  <si>
    <t>Анђелија Миливојевић, дипл.правник</t>
  </si>
  <si>
    <t>пренамена</t>
  </si>
  <si>
    <t>РЕБАЛАНС 2</t>
  </si>
  <si>
    <t xml:space="preserve">инвестициони </t>
  </si>
  <si>
    <t>утрошак</t>
  </si>
  <si>
    <t>остало</t>
  </si>
  <si>
    <t xml:space="preserve">Укупна средства </t>
  </si>
  <si>
    <t>_____________________________________________________</t>
  </si>
  <si>
    <t>Новчане казне и пeнали по решењу судова</t>
  </si>
  <si>
    <t>Плате по основу цене рада</t>
  </si>
  <si>
    <t>Поклони за децу запослених</t>
  </si>
  <si>
    <t>Накнаде трошкова за превоз на посао и са посла</t>
  </si>
  <si>
    <t>Јубиларне награде</t>
  </si>
  <si>
    <t xml:space="preserve">Трошкови платног промета </t>
  </si>
  <si>
    <t>Услуге за електричну енергију</t>
  </si>
  <si>
    <t>Услуге водовода и канализације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</si>
  <si>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</si>
  <si>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</si>
  <si>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</si>
  <si>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</si>
  <si>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</si>
  <si>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</t>
  </si>
  <si>
    <t>Осигурање зграда</t>
  </si>
  <si>
    <t>Осигурање возила</t>
  </si>
  <si>
    <t>Осигурање опреме</t>
  </si>
  <si>
    <t>Осигурање запослених у случају несреће на раду</t>
  </si>
  <si>
    <t>Трошкови дневница(исхране) на службеном путу</t>
  </si>
  <si>
    <t>Услуге одржавања рачунара</t>
  </si>
  <si>
    <t>Котизација за семинаре</t>
  </si>
  <si>
    <t>Котизација за стручна саветовања</t>
  </si>
  <si>
    <t>Услуге ревизије</t>
  </si>
  <si>
    <t>Остале стручне услуге</t>
  </si>
  <si>
    <t>Угоститељске услуге</t>
  </si>
  <si>
    <t>Остале услуге заштите животиња и биља</t>
  </si>
  <si>
    <t>Услуге културе</t>
  </si>
  <si>
    <t>Услуге очувања животне средине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</si>
  <si>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</si>
  <si>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</si>
  <si>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</si>
  <si>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</si>
  <si>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канализацији</t>
  </si>
  <si>
    <t>Централно грејање</t>
  </si>
  <si>
    <t>Електричне инсталације</t>
  </si>
  <si>
    <t>Радови на комуникацијским инсталацијама</t>
  </si>
  <si>
    <t>Остале услуге и материјали за текуће поправке и одржавање зграда</t>
  </si>
  <si>
    <t>Текуће поправке и одржавање  осталих објеката</t>
  </si>
  <si>
    <t>Механичке поправке</t>
  </si>
  <si>
    <t>Рачунарска опрема</t>
  </si>
  <si>
    <t>Електронска и фотографска опрема</t>
  </si>
  <si>
    <t>Опрема за домаћинство и угоститељство</t>
  </si>
  <si>
    <t>Уградна опрема</t>
  </si>
  <si>
    <t>Текуће поправке и одржавање опреме за пољопривреду</t>
  </si>
  <si>
    <t>Текуће поправке и одржавање опреме за јавну безбедност</t>
  </si>
  <si>
    <t>Текуће поправке и одржавање производне,моторне,непокретне и немоторне опреме</t>
  </si>
  <si>
    <t>Канцеларијски материјал</t>
  </si>
  <si>
    <t>Цвеће и зеленило</t>
  </si>
  <si>
    <t>Остали материјали за пољопривреду</t>
  </si>
  <si>
    <t>Стручна литература за редовне потребе запослених</t>
  </si>
  <si>
    <t>Бензин</t>
  </si>
  <si>
    <t>Остали материјал за превозна средства</t>
  </si>
  <si>
    <t>Инвентар за одржавање хигијене</t>
  </si>
  <si>
    <t>Храна</t>
  </si>
  <si>
    <t>Пиће</t>
  </si>
  <si>
    <t>Остали материјали за посебне намене</t>
  </si>
  <si>
    <t>Дотације спортским омладинским организацијама</t>
  </si>
  <si>
    <t>Дотације верским заједницама</t>
  </si>
  <si>
    <t>Дотације осталим удружењима грађана</t>
  </si>
  <si>
    <t>Дотације осталим непрофитним институцијама</t>
  </si>
  <si>
    <t>Судске таксе</t>
  </si>
  <si>
    <t>Новчане казне и пенали по решењу судова</t>
  </si>
  <si>
    <t>Стална резерва</t>
  </si>
  <si>
    <t>Текућа резерва</t>
  </si>
  <si>
    <t>Капитално одржавање другог стамбеног простора</t>
  </si>
  <si>
    <t>Водовод</t>
  </si>
  <si>
    <t>Канализација</t>
  </si>
  <si>
    <t>Плиновод и плинарски радови</t>
  </si>
  <si>
    <t>Услуге информисања јавности</t>
  </si>
  <si>
    <t>Остале услуге штампања</t>
  </si>
  <si>
    <t>Услуге штампања билтена</t>
  </si>
  <si>
    <t>Услуге штампања публикација</t>
  </si>
  <si>
    <t>Објављивање тендера и информативних огласа</t>
  </si>
  <si>
    <t>Медијске услуге радија и телевизије</t>
  </si>
  <si>
    <t>Остатак</t>
  </si>
  <si>
    <t>Услуге за одржавање софтвера</t>
  </si>
  <si>
    <t>Материјали за спорт</t>
  </si>
  <si>
    <t>Алат и инвентар</t>
  </si>
  <si>
    <t>Регистрација возила</t>
  </si>
  <si>
    <t>Mатеријали за културу</t>
  </si>
  <si>
    <t>Капитално одржавање отворених спортских и рекреационих објеката</t>
  </si>
  <si>
    <t>Пројектна документација</t>
  </si>
  <si>
    <t>Републичке таксе</t>
  </si>
  <si>
    <t>Услуге вештачења</t>
  </si>
  <si>
    <t>Геодетске услуге</t>
  </si>
  <si>
    <t>Материјали за тестирање воде</t>
  </si>
  <si>
    <t>Остали административни материјал</t>
  </si>
  <si>
    <t>Намештај</t>
  </si>
  <si>
    <t xml:space="preserve">Опрема за домаћинство   </t>
  </si>
  <si>
    <t xml:space="preserve">                                                                                                                                                                        </t>
  </si>
  <si>
    <t>Остале дотације и трансфери</t>
  </si>
  <si>
    <t>Остале текуће дотације по закону</t>
  </si>
  <si>
    <t>Остале административне услуге</t>
  </si>
  <si>
    <t>Остали издаци з стручно образовање</t>
  </si>
  <si>
    <t>Kaпитално одржавање пословних зграда и пословног простора</t>
  </si>
  <si>
    <t>Накнада штете за повреде или штету нанету од стране државних органа</t>
  </si>
  <si>
    <t>Остале накнаде штете</t>
  </si>
  <si>
    <t>Капитално одржавање осталих објеката</t>
  </si>
  <si>
    <t>Стручна оцена и коментари</t>
  </si>
  <si>
    <t>Комуникациони и електрични водови</t>
  </si>
  <si>
    <t>Капитално одржавање путева</t>
  </si>
  <si>
    <t>У Костолцу,19.05.2017.године</t>
  </si>
  <si>
    <t>Градске таксе</t>
  </si>
  <si>
    <t>Oтпремнина у случају смрти запосленог или члана уже породице</t>
  </si>
  <si>
    <t xml:space="preserve">Путарине </t>
  </si>
  <si>
    <t>Анализа воде</t>
  </si>
  <si>
    <t xml:space="preserve">Извршење </t>
  </si>
  <si>
    <t>Дератизација</t>
  </si>
  <si>
    <t>Текуће поправке и одржавање попреме за пољопривреду</t>
  </si>
  <si>
    <t>Преглед ПП апарата</t>
  </si>
  <si>
    <t>Монтирана опрема</t>
  </si>
  <si>
    <t>Електронска опрема</t>
  </si>
  <si>
    <t>Фотографска опрема</t>
  </si>
  <si>
    <t>Скулптуре</t>
  </si>
  <si>
    <t>Изградња осталих објеката</t>
  </si>
  <si>
    <t xml:space="preserve"> УПРАВА ГРАДСКЕ ОПШТИНЕ КОСТОЛАЦ
финансијски план за 2019. годину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</si>
</sst>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_ ;[Red]\-#,##0.0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"/>
    <numFmt numFmtId="191" formatCode="#,##0.00\ _Д_и_н_.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</cellStyleXfs>
  <cellXfs count="122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justify" wrapText="1"/>
    </xf>
    <xf numFmtId="180" fontId="6" fillId="33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180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4" fontId="5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34" borderId="10" xfId="0" applyNumberForma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vertical="justify"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4" fontId="0" fillId="34" borderId="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9" fontId="0" fillId="34" borderId="10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80" fontId="5" fillId="34" borderId="11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/>
    </xf>
    <xf numFmtId="0" fontId="11" fillId="33" borderId="10" xfId="0" applyFont="1" applyFill="1" applyBorder="1" applyAlignment="1">
      <alignment vertical="justify"/>
    </xf>
    <xf numFmtId="0" fontId="6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35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80" fontId="12" fillId="33" borderId="10" xfId="0" applyNumberFormat="1" applyFont="1" applyFill="1" applyBorder="1" applyAlignment="1">
      <alignment/>
    </xf>
    <xf numFmtId="180" fontId="12" fillId="33" borderId="12" xfId="0" applyNumberFormat="1" applyFont="1" applyFill="1" applyBorder="1" applyAlignment="1">
      <alignment/>
    </xf>
    <xf numFmtId="180" fontId="13" fillId="0" borderId="10" xfId="0" applyNumberFormat="1" applyFont="1" applyBorder="1" applyAlignment="1">
      <alignment/>
    </xf>
    <xf numFmtId="180" fontId="12" fillId="0" borderId="12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3" fillId="0" borderId="10" xfId="0" applyNumberFormat="1" applyFont="1" applyBorder="1" applyAlignment="1">
      <alignment horizontal="right"/>
    </xf>
    <xf numFmtId="180" fontId="12" fillId="0" borderId="12" xfId="0" applyNumberFormat="1" applyFont="1" applyFill="1" applyBorder="1" applyAlignment="1">
      <alignment horizontal="right"/>
    </xf>
    <xf numFmtId="180" fontId="13" fillId="0" borderId="10" xfId="0" applyNumberFormat="1" applyFont="1" applyBorder="1" applyAlignment="1">
      <alignment/>
    </xf>
    <xf numFmtId="180" fontId="12" fillId="0" borderId="12" xfId="0" applyNumberFormat="1" applyFont="1" applyFill="1" applyBorder="1" applyAlignment="1">
      <alignment/>
    </xf>
    <xf numFmtId="180" fontId="13" fillId="35" borderId="10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180" fontId="13" fillId="34" borderId="10" xfId="0" applyNumberFormat="1" applyFont="1" applyFill="1" applyBorder="1" applyAlignment="1">
      <alignment/>
    </xf>
    <xf numFmtId="180" fontId="12" fillId="34" borderId="12" xfId="0" applyNumberFormat="1" applyFont="1" applyFill="1" applyBorder="1" applyAlignment="1">
      <alignment/>
    </xf>
    <xf numFmtId="180" fontId="12" fillId="34" borderId="10" xfId="0" applyNumberFormat="1" applyFont="1" applyFill="1" applyBorder="1" applyAlignment="1">
      <alignment/>
    </xf>
    <xf numFmtId="180" fontId="12" fillId="35" borderId="12" xfId="0" applyNumberFormat="1" applyFont="1" applyFill="1" applyBorder="1" applyAlignment="1">
      <alignment/>
    </xf>
    <xf numFmtId="180" fontId="13" fillId="0" borderId="10" xfId="0" applyNumberFormat="1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180" fontId="12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180" fontId="13" fillId="0" borderId="10" xfId="0" applyNumberFormat="1" applyFont="1" applyBorder="1" applyAlignment="1">
      <alignment vertical="center"/>
    </xf>
    <xf numFmtId="0" fontId="11" fillId="34" borderId="10" xfId="0" applyFont="1" applyFill="1" applyBorder="1" applyAlignment="1">
      <alignment wrapText="1"/>
    </xf>
    <xf numFmtId="4" fontId="13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3" borderId="12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ан_Odobrene aproprijacije 200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199"/>
  <sheetViews>
    <sheetView tabSelected="1" view="pageBreakPreview" zoomScale="93" zoomScaleNormal="106" zoomScaleSheetLayoutView="93" zoomScalePageLayoutView="0" workbookViewId="0" topLeftCell="B1">
      <pane ySplit="2" topLeftCell="A117" activePane="bottomLeft" state="frozen"/>
      <selection pane="topLeft" activeCell="I147" sqref="I147"/>
      <selection pane="bottomLeft" activeCell="L116" sqref="L116"/>
    </sheetView>
  </sheetViews>
  <sheetFormatPr defaultColWidth="9.140625" defaultRowHeight="12.75"/>
  <cols>
    <col min="1" max="1" width="7.7109375" style="0" customWidth="1"/>
    <col min="2" max="2" width="40.8515625" style="0" customWidth="1"/>
    <col min="3" max="3" width="13.7109375" style="0" customWidth="1"/>
    <col min="4" max="4" width="13.00390625" style="0" customWidth="1"/>
    <col min="5" max="5" width="11.28125" style="0" customWidth="1"/>
    <col min="6" max="6" width="9.140625" style="0" customWidth="1"/>
    <col min="7" max="7" width="13.57421875" style="0" customWidth="1"/>
    <col min="8" max="8" width="12.57421875" style="0" customWidth="1"/>
    <col min="9" max="10" width="14.28125" style="0" customWidth="1"/>
    <col min="11" max="11" width="13.28125" style="0" customWidth="1"/>
    <col min="12" max="12" width="14.00390625" style="0" bestFit="1" customWidth="1"/>
    <col min="13" max="13" width="10.140625" style="0" customWidth="1"/>
    <col min="14" max="14" width="15.28125" style="0" customWidth="1"/>
    <col min="15" max="15" width="14.00390625" style="0" bestFit="1" customWidth="1"/>
    <col min="16" max="16" width="18.7109375" style="0" customWidth="1"/>
    <col min="17" max="17" width="15.7109375" style="0" customWidth="1"/>
    <col min="18" max="18" width="11.57421875" style="0" customWidth="1"/>
  </cols>
  <sheetData>
    <row r="1" spans="1:6" s="1" customFormat="1" ht="60" customHeight="1">
      <c r="A1" s="112" t="s">
        <v>196</v>
      </c>
      <c r="B1" s="113"/>
      <c r="C1" s="113"/>
      <c r="D1" s="113"/>
      <c r="E1" s="113"/>
      <c r="F1" s="113"/>
    </row>
    <row r="2" spans="1:11" ht="72" customHeight="1">
      <c r="A2" s="53" t="s">
        <v>0</v>
      </c>
      <c r="B2" s="53" t="s">
        <v>1</v>
      </c>
      <c r="C2" s="87" t="s">
        <v>79</v>
      </c>
      <c r="D2" s="87" t="s">
        <v>187</v>
      </c>
      <c r="E2" s="88" t="s">
        <v>155</v>
      </c>
      <c r="F2" s="87" t="s">
        <v>67</v>
      </c>
      <c r="G2" s="36" t="s">
        <v>74</v>
      </c>
      <c r="H2" s="33" t="s">
        <v>75</v>
      </c>
      <c r="I2" s="29" t="s">
        <v>76</v>
      </c>
      <c r="J2" s="29" t="s">
        <v>77</v>
      </c>
      <c r="K2" s="29" t="s">
        <v>78</v>
      </c>
    </row>
    <row r="3" spans="1:11" ht="12.75">
      <c r="A3" s="64">
        <v>1</v>
      </c>
      <c r="B3" s="64">
        <v>2</v>
      </c>
      <c r="C3" s="89">
        <v>3</v>
      </c>
      <c r="D3" s="89" t="s">
        <v>170</v>
      </c>
      <c r="E3" s="89">
        <v>5</v>
      </c>
      <c r="F3" s="89">
        <v>6</v>
      </c>
      <c r="G3" s="27"/>
      <c r="H3" s="21"/>
      <c r="I3" s="21"/>
      <c r="J3" s="22"/>
      <c r="K3" s="22"/>
    </row>
    <row r="4" spans="1:11" ht="12.75">
      <c r="A4" s="65">
        <v>411000</v>
      </c>
      <c r="B4" s="66" t="s">
        <v>3</v>
      </c>
      <c r="C4" s="90">
        <f>C5</f>
        <v>15500376</v>
      </c>
      <c r="D4" s="91">
        <f>D5</f>
        <v>0</v>
      </c>
      <c r="E4" s="91">
        <f>C4-D4</f>
        <v>15500376</v>
      </c>
      <c r="F4" s="90">
        <f>(D4*100)/C4</f>
        <v>0</v>
      </c>
      <c r="G4" s="42"/>
      <c r="H4" s="42"/>
      <c r="I4" s="42"/>
      <c r="J4" s="42"/>
      <c r="K4" s="42"/>
    </row>
    <row r="5" spans="1:11" ht="12.75">
      <c r="A5" s="67">
        <v>411111</v>
      </c>
      <c r="B5" s="68" t="s">
        <v>82</v>
      </c>
      <c r="C5" s="92">
        <v>15500376</v>
      </c>
      <c r="D5" s="93"/>
      <c r="E5" s="104">
        <f aca="true" t="shared" si="0" ref="E5:E74">C5-D5</f>
        <v>15500376</v>
      </c>
      <c r="F5" s="107">
        <f aca="true" t="shared" si="1" ref="F5:F74">(D5*100)/C5</f>
        <v>0</v>
      </c>
      <c r="G5" s="22"/>
      <c r="H5" s="22"/>
      <c r="I5" s="22"/>
      <c r="J5" s="22"/>
      <c r="K5" s="22"/>
    </row>
    <row r="6" spans="1:11" ht="12.75">
      <c r="A6" s="65">
        <v>412000</v>
      </c>
      <c r="B6" s="66" t="s">
        <v>4</v>
      </c>
      <c r="C6" s="90">
        <f>C7+C8+C9</f>
        <v>2658360</v>
      </c>
      <c r="D6" s="91">
        <f>D7+D8+D9</f>
        <v>0</v>
      </c>
      <c r="E6" s="91">
        <f t="shared" si="0"/>
        <v>2658360</v>
      </c>
      <c r="F6" s="90">
        <f t="shared" si="1"/>
        <v>0</v>
      </c>
      <c r="G6" s="42"/>
      <c r="H6" s="42"/>
      <c r="I6" s="42"/>
      <c r="J6" s="42"/>
      <c r="K6" s="42"/>
    </row>
    <row r="7" spans="1:11" ht="12.75">
      <c r="A7" s="67">
        <v>412111</v>
      </c>
      <c r="B7" s="68" t="s">
        <v>5</v>
      </c>
      <c r="C7" s="92">
        <v>1860060</v>
      </c>
      <c r="D7" s="93"/>
      <c r="E7" s="104">
        <f t="shared" si="0"/>
        <v>1860060</v>
      </c>
      <c r="F7" s="107">
        <f t="shared" si="1"/>
        <v>0</v>
      </c>
      <c r="G7" s="108"/>
      <c r="H7" s="22"/>
      <c r="I7" s="22"/>
      <c r="J7" s="22"/>
      <c r="K7" s="22"/>
    </row>
    <row r="8" spans="1:11" ht="12.75">
      <c r="A8" s="67">
        <v>412211</v>
      </c>
      <c r="B8" s="68" t="s">
        <v>6</v>
      </c>
      <c r="C8" s="92">
        <v>798300</v>
      </c>
      <c r="D8" s="93"/>
      <c r="E8" s="104">
        <f t="shared" si="0"/>
        <v>798300</v>
      </c>
      <c r="F8" s="107">
        <f t="shared" si="1"/>
        <v>0</v>
      </c>
      <c r="G8" s="108"/>
      <c r="H8" s="22"/>
      <c r="I8" s="22"/>
      <c r="J8" s="22"/>
      <c r="K8" s="22"/>
    </row>
    <row r="9" spans="1:11" ht="12.75">
      <c r="A9" s="67">
        <v>412311</v>
      </c>
      <c r="B9" s="68" t="s">
        <v>7</v>
      </c>
      <c r="C9" s="92"/>
      <c r="D9" s="93"/>
      <c r="E9" s="104">
        <f t="shared" si="0"/>
        <v>0</v>
      </c>
      <c r="F9" s="107" t="e">
        <f t="shared" si="1"/>
        <v>#DIV/0!</v>
      </c>
      <c r="G9" s="108"/>
      <c r="H9" s="22"/>
      <c r="I9" s="22"/>
      <c r="J9" s="22"/>
      <c r="K9" s="22"/>
    </row>
    <row r="10" spans="1:11" ht="12.75">
      <c r="A10" s="65">
        <v>413000</v>
      </c>
      <c r="B10" s="66" t="s">
        <v>8</v>
      </c>
      <c r="C10" s="90">
        <f>C11</f>
        <v>47960</v>
      </c>
      <c r="D10" s="90">
        <f>D11</f>
        <v>0</v>
      </c>
      <c r="E10" s="91">
        <f t="shared" si="0"/>
        <v>47960</v>
      </c>
      <c r="F10" s="90">
        <f t="shared" si="1"/>
        <v>0</v>
      </c>
      <c r="G10" s="42"/>
      <c r="H10" s="42"/>
      <c r="I10" s="42"/>
      <c r="J10" s="42"/>
      <c r="K10" s="42"/>
    </row>
    <row r="11" spans="1:11" ht="12.75">
      <c r="A11" s="67">
        <v>413142</v>
      </c>
      <c r="B11" s="68" t="s">
        <v>83</v>
      </c>
      <c r="C11" s="92">
        <v>47960</v>
      </c>
      <c r="D11" s="94"/>
      <c r="E11" s="104">
        <f t="shared" si="0"/>
        <v>47960</v>
      </c>
      <c r="F11" s="107">
        <f t="shared" si="1"/>
        <v>0</v>
      </c>
      <c r="G11" s="22"/>
      <c r="H11" s="22"/>
      <c r="I11" s="22"/>
      <c r="J11" s="22"/>
      <c r="K11" s="22"/>
    </row>
    <row r="12" spans="1:11" ht="12.75">
      <c r="A12" s="65">
        <v>414000</v>
      </c>
      <c r="B12" s="66" t="s">
        <v>9</v>
      </c>
      <c r="C12" s="90">
        <f>SUM(C13:C16)</f>
        <v>80000</v>
      </c>
      <c r="D12" s="90">
        <f>D13+D14+D15+D16</f>
        <v>0</v>
      </c>
      <c r="E12" s="91">
        <f t="shared" si="0"/>
        <v>80000</v>
      </c>
      <c r="F12" s="90">
        <f t="shared" si="1"/>
        <v>0</v>
      </c>
      <c r="G12" s="42"/>
      <c r="H12" s="42"/>
      <c r="I12" s="42"/>
      <c r="J12" s="42"/>
      <c r="K12" s="42"/>
    </row>
    <row r="13" spans="1:11" s="6" customFormat="1" ht="24">
      <c r="A13" s="69">
        <v>414100</v>
      </c>
      <c r="B13" s="70" t="s">
        <v>10</v>
      </c>
      <c r="C13" s="95">
        <f>50000-50000</f>
        <v>0</v>
      </c>
      <c r="D13" s="96"/>
      <c r="E13" s="104">
        <f t="shared" si="0"/>
        <v>0</v>
      </c>
      <c r="F13" s="107">
        <v>0</v>
      </c>
      <c r="G13" s="46"/>
      <c r="H13" s="50"/>
      <c r="I13" s="22"/>
      <c r="J13" s="46"/>
      <c r="K13" s="46"/>
    </row>
    <row r="14" spans="1:11" ht="12.75">
      <c r="A14" s="67">
        <v>414200</v>
      </c>
      <c r="B14" s="68" t="s">
        <v>11</v>
      </c>
      <c r="C14" s="97">
        <v>0</v>
      </c>
      <c r="D14" s="98"/>
      <c r="E14" s="104">
        <f t="shared" si="0"/>
        <v>0</v>
      </c>
      <c r="F14" s="107">
        <v>0</v>
      </c>
      <c r="G14" s="22"/>
      <c r="H14" s="22"/>
      <c r="I14" s="22"/>
      <c r="J14" s="22"/>
      <c r="K14" s="22"/>
    </row>
    <row r="15" spans="1:11" ht="24.75" customHeight="1">
      <c r="A15" s="67">
        <v>414314</v>
      </c>
      <c r="B15" s="75" t="s">
        <v>184</v>
      </c>
      <c r="C15" s="109">
        <v>30000</v>
      </c>
      <c r="D15" s="98"/>
      <c r="E15" s="104">
        <f t="shared" si="0"/>
        <v>30000</v>
      </c>
      <c r="F15" s="107">
        <v>0</v>
      </c>
      <c r="G15" s="22"/>
      <c r="H15" s="22"/>
      <c r="I15" s="22"/>
      <c r="J15" s="22"/>
      <c r="K15" s="22"/>
    </row>
    <row r="16" spans="1:11" s="7" customFormat="1" ht="36">
      <c r="A16" s="71">
        <v>414411</v>
      </c>
      <c r="B16" s="72" t="s">
        <v>12</v>
      </c>
      <c r="C16" s="111">
        <v>50000</v>
      </c>
      <c r="D16" s="98">
        <v>0</v>
      </c>
      <c r="E16" s="104">
        <f t="shared" si="0"/>
        <v>50000</v>
      </c>
      <c r="F16" s="107">
        <f t="shared" si="1"/>
        <v>0</v>
      </c>
      <c r="G16" s="47"/>
      <c r="H16" s="47"/>
      <c r="I16" s="22"/>
      <c r="J16" s="47"/>
      <c r="K16" s="47"/>
    </row>
    <row r="17" spans="1:11" ht="12.75">
      <c r="A17" s="65">
        <v>415000</v>
      </c>
      <c r="B17" s="66" t="s">
        <v>13</v>
      </c>
      <c r="C17" s="90">
        <f>C18</f>
        <v>290000</v>
      </c>
      <c r="D17" s="90">
        <f>D18</f>
        <v>0</v>
      </c>
      <c r="E17" s="91">
        <f t="shared" si="0"/>
        <v>290000</v>
      </c>
      <c r="F17" s="90">
        <f t="shared" si="1"/>
        <v>0</v>
      </c>
      <c r="G17" s="42"/>
      <c r="H17" s="42"/>
      <c r="I17" s="42"/>
      <c r="J17" s="42"/>
      <c r="K17" s="42"/>
    </row>
    <row r="18" spans="1:11" ht="12.75">
      <c r="A18" s="67">
        <v>415112</v>
      </c>
      <c r="B18" s="68" t="s">
        <v>84</v>
      </c>
      <c r="C18" s="92">
        <v>290000</v>
      </c>
      <c r="D18" s="93"/>
      <c r="E18" s="104">
        <f t="shared" si="0"/>
        <v>290000</v>
      </c>
      <c r="F18" s="107">
        <f t="shared" si="1"/>
        <v>0</v>
      </c>
      <c r="G18" s="22"/>
      <c r="H18" s="22"/>
      <c r="I18" s="22"/>
      <c r="J18" s="22"/>
      <c r="K18" s="22"/>
    </row>
    <row r="19" spans="1:11" ht="12.75">
      <c r="A19" s="65">
        <v>416000</v>
      </c>
      <c r="B19" s="66" t="s">
        <v>14</v>
      </c>
      <c r="C19" s="90">
        <f>C20</f>
        <v>0</v>
      </c>
      <c r="D19" s="91">
        <f>D20</f>
        <v>0</v>
      </c>
      <c r="E19" s="91">
        <f t="shared" si="0"/>
        <v>0</v>
      </c>
      <c r="F19" s="90" t="e">
        <f t="shared" si="1"/>
        <v>#DIV/0!</v>
      </c>
      <c r="G19" s="42"/>
      <c r="H19" s="42"/>
      <c r="I19" s="42"/>
      <c r="J19" s="42"/>
      <c r="K19" s="42"/>
    </row>
    <row r="20" spans="1:11" ht="12.75">
      <c r="A20" s="67">
        <v>416111</v>
      </c>
      <c r="B20" s="68" t="s">
        <v>85</v>
      </c>
      <c r="C20" s="92">
        <v>0</v>
      </c>
      <c r="D20" s="93"/>
      <c r="E20" s="104">
        <f t="shared" si="0"/>
        <v>0</v>
      </c>
      <c r="F20" s="107" t="e">
        <f t="shared" si="1"/>
        <v>#DIV/0!</v>
      </c>
      <c r="G20" s="22"/>
      <c r="H20" s="22"/>
      <c r="I20" s="22"/>
      <c r="J20" s="22"/>
      <c r="K20" s="22"/>
    </row>
    <row r="21" spans="1:11" ht="12.75">
      <c r="A21" s="65">
        <v>421000</v>
      </c>
      <c r="B21" s="66" t="s">
        <v>15</v>
      </c>
      <c r="C21" s="90">
        <f>SUM(C22:C38)</f>
        <v>4241400</v>
      </c>
      <c r="D21" s="90">
        <f>D22+D23+D25+D27+D28+D29+D30+D31+D32+D33+D34+D35+D36+D37+D38+D24</f>
        <v>0</v>
      </c>
      <c r="E21" s="91">
        <f t="shared" si="0"/>
        <v>4241400</v>
      </c>
      <c r="F21" s="90">
        <f t="shared" si="1"/>
        <v>0</v>
      </c>
      <c r="G21" s="42"/>
      <c r="H21" s="42">
        <f>SUM(H22:H38)</f>
        <v>50212</v>
      </c>
      <c r="I21" s="42">
        <f>SUM(I22:I38)</f>
        <v>30314</v>
      </c>
      <c r="J21" s="42"/>
      <c r="K21" s="42"/>
    </row>
    <row r="22" spans="1:11" ht="12.75">
      <c r="A22" s="67">
        <v>421111</v>
      </c>
      <c r="B22" s="68" t="s">
        <v>86</v>
      </c>
      <c r="C22" s="92">
        <v>340000</v>
      </c>
      <c r="D22" s="93"/>
      <c r="E22" s="104">
        <f t="shared" si="0"/>
        <v>340000</v>
      </c>
      <c r="F22" s="107">
        <f t="shared" si="1"/>
        <v>0</v>
      </c>
      <c r="G22" s="22"/>
      <c r="H22" s="22">
        <f>50000+212</f>
        <v>50212</v>
      </c>
      <c r="I22" s="22">
        <f>26325+3989</f>
        <v>30314</v>
      </c>
      <c r="J22" s="22"/>
      <c r="K22" s="22"/>
    </row>
    <row r="23" spans="1:17" ht="12.75">
      <c r="A23" s="67">
        <v>421211</v>
      </c>
      <c r="B23" s="68" t="s">
        <v>87</v>
      </c>
      <c r="C23" s="92">
        <v>800000</v>
      </c>
      <c r="D23" s="93"/>
      <c r="E23" s="104">
        <f t="shared" si="0"/>
        <v>800000</v>
      </c>
      <c r="F23" s="107">
        <f t="shared" si="1"/>
        <v>0</v>
      </c>
      <c r="G23" s="22"/>
      <c r="H23" s="22"/>
      <c r="I23" s="22"/>
      <c r="J23" s="22"/>
      <c r="K23" s="22"/>
      <c r="L23" s="59"/>
      <c r="M23" s="3"/>
      <c r="N23" s="25"/>
      <c r="O23" s="3"/>
      <c r="P23" s="11"/>
      <c r="Q23" s="25"/>
    </row>
    <row r="24" spans="1:17" ht="12.75">
      <c r="A24" s="67">
        <v>421225</v>
      </c>
      <c r="B24" s="68" t="s">
        <v>114</v>
      </c>
      <c r="C24" s="92">
        <v>140000</v>
      </c>
      <c r="D24" s="93"/>
      <c r="E24" s="104">
        <f t="shared" si="0"/>
        <v>140000</v>
      </c>
      <c r="F24" s="107">
        <f t="shared" si="1"/>
        <v>0</v>
      </c>
      <c r="G24" s="22"/>
      <c r="H24" s="22"/>
      <c r="I24" s="22"/>
      <c r="J24" s="22"/>
      <c r="K24" s="22"/>
      <c r="L24" s="59"/>
      <c r="M24" s="3"/>
      <c r="N24" s="25"/>
      <c r="O24" s="3"/>
      <c r="P24" s="11"/>
      <c r="Q24" s="25"/>
    </row>
    <row r="25" spans="1:18" ht="12.75">
      <c r="A25" s="67">
        <v>421311</v>
      </c>
      <c r="B25" s="68" t="s">
        <v>88</v>
      </c>
      <c r="C25" s="92">
        <v>250000</v>
      </c>
      <c r="D25" s="93"/>
      <c r="E25" s="104">
        <f t="shared" si="0"/>
        <v>250000</v>
      </c>
      <c r="F25" s="107">
        <f t="shared" si="1"/>
        <v>0</v>
      </c>
      <c r="G25" s="22"/>
      <c r="H25" s="22"/>
      <c r="I25" s="22"/>
      <c r="J25" s="22"/>
      <c r="K25" s="22"/>
      <c r="L25" s="59"/>
      <c r="M25" s="3"/>
      <c r="N25" s="25"/>
      <c r="O25" s="3"/>
      <c r="P25" s="11"/>
      <c r="Q25" s="25"/>
      <c r="R25" s="18"/>
    </row>
    <row r="26" spans="1:18" ht="12.75">
      <c r="A26" s="67">
        <v>421321</v>
      </c>
      <c r="B26" s="68" t="s">
        <v>188</v>
      </c>
      <c r="C26" s="92">
        <v>20000</v>
      </c>
      <c r="D26" s="93"/>
      <c r="E26" s="104">
        <f t="shared" si="0"/>
        <v>20000</v>
      </c>
      <c r="F26" s="107">
        <f t="shared" si="1"/>
        <v>0</v>
      </c>
      <c r="G26" s="22"/>
      <c r="H26" s="22"/>
      <c r="I26" s="22"/>
      <c r="J26" s="22"/>
      <c r="K26" s="22"/>
      <c r="L26" s="59"/>
      <c r="M26" s="3"/>
      <c r="N26" s="25"/>
      <c r="O26" s="3"/>
      <c r="P26" s="11"/>
      <c r="Q26" s="25"/>
      <c r="R26" s="18"/>
    </row>
    <row r="27" spans="1:18" ht="12.75">
      <c r="A27" s="67">
        <v>421324</v>
      </c>
      <c r="B27" s="68" t="s">
        <v>89</v>
      </c>
      <c r="C27" s="92">
        <v>40000</v>
      </c>
      <c r="D27" s="93"/>
      <c r="E27" s="104">
        <f t="shared" si="0"/>
        <v>40000</v>
      </c>
      <c r="F27" s="107">
        <f t="shared" si="1"/>
        <v>0</v>
      </c>
      <c r="G27" s="22"/>
      <c r="H27" s="22"/>
      <c r="I27" s="22"/>
      <c r="J27" s="22"/>
      <c r="K27" s="22"/>
      <c r="L27" s="59"/>
      <c r="M27" s="3"/>
      <c r="N27" s="25"/>
      <c r="O27" s="3"/>
      <c r="P27" s="11"/>
      <c r="Q27" s="25"/>
      <c r="R27" s="18"/>
    </row>
    <row r="28" spans="1:18" ht="12.75">
      <c r="A28" s="67">
        <v>421325</v>
      </c>
      <c r="B28" s="68" t="s">
        <v>90</v>
      </c>
      <c r="C28" s="92">
        <f>45500+(2*691000)</f>
        <v>1427500</v>
      </c>
      <c r="D28" s="93"/>
      <c r="E28" s="104">
        <f t="shared" si="0"/>
        <v>1427500</v>
      </c>
      <c r="F28" s="107">
        <f t="shared" si="1"/>
        <v>0</v>
      </c>
      <c r="G28" s="22"/>
      <c r="H28" s="22"/>
      <c r="I28" s="22"/>
      <c r="J28" s="22"/>
      <c r="K28" s="22"/>
      <c r="L28" s="59"/>
      <c r="M28" s="3"/>
      <c r="N28" s="25"/>
      <c r="O28" s="3"/>
      <c r="P28" s="11"/>
      <c r="Q28" s="25"/>
      <c r="R28" s="18"/>
    </row>
    <row r="29" spans="1:18" ht="12.75">
      <c r="A29" s="67">
        <v>421411</v>
      </c>
      <c r="B29" s="68" t="s">
        <v>91</v>
      </c>
      <c r="C29" s="92">
        <v>99900</v>
      </c>
      <c r="D29" s="93"/>
      <c r="E29" s="104">
        <f t="shared" si="0"/>
        <v>99900</v>
      </c>
      <c r="F29" s="107">
        <f t="shared" si="1"/>
        <v>0</v>
      </c>
      <c r="G29" s="25"/>
      <c r="H29" s="22"/>
      <c r="I29" s="22"/>
      <c r="J29" s="22"/>
      <c r="K29" s="22"/>
      <c r="L29" s="60"/>
      <c r="M29" s="3"/>
      <c r="N29" s="25"/>
      <c r="O29" s="3"/>
      <c r="P29" s="11"/>
      <c r="Q29" s="25"/>
      <c r="R29" s="18"/>
    </row>
    <row r="30" spans="1:18" ht="12.75">
      <c r="A30" s="67">
        <v>421412</v>
      </c>
      <c r="B30" s="68" t="s">
        <v>92</v>
      </c>
      <c r="C30" s="92">
        <v>166000</v>
      </c>
      <c r="D30" s="93"/>
      <c r="E30" s="104">
        <f t="shared" si="0"/>
        <v>166000</v>
      </c>
      <c r="F30" s="107">
        <f t="shared" si="1"/>
        <v>0</v>
      </c>
      <c r="G30" s="25"/>
      <c r="H30" s="22"/>
      <c r="I30" s="22"/>
      <c r="J30" s="22"/>
      <c r="K30" s="22"/>
      <c r="L30" s="60"/>
      <c r="M30" s="3"/>
      <c r="N30" s="25"/>
      <c r="O30" s="3"/>
      <c r="P30" s="11"/>
      <c r="Q30" s="25"/>
      <c r="R30" s="18"/>
    </row>
    <row r="31" spans="1:18" ht="12.75">
      <c r="A31" s="67">
        <v>421414</v>
      </c>
      <c r="B31" s="68" t="s">
        <v>93</v>
      </c>
      <c r="C31" s="92">
        <v>500000</v>
      </c>
      <c r="D31" s="93"/>
      <c r="E31" s="104">
        <f t="shared" si="0"/>
        <v>500000</v>
      </c>
      <c r="F31" s="107">
        <f t="shared" si="1"/>
        <v>0</v>
      </c>
      <c r="G31" s="25"/>
      <c r="H31" s="22"/>
      <c r="I31" s="22"/>
      <c r="J31" s="22"/>
      <c r="K31" s="22"/>
      <c r="L31" s="60"/>
      <c r="M31" s="3"/>
      <c r="N31" s="25"/>
      <c r="O31" s="3"/>
      <c r="P31" s="11"/>
      <c r="Q31" s="25"/>
      <c r="R31" s="18"/>
    </row>
    <row r="32" spans="1:18" ht="12.75">
      <c r="A32" s="67">
        <v>421421</v>
      </c>
      <c r="B32" s="68" t="s">
        <v>94</v>
      </c>
      <c r="C32" s="92">
        <v>105000</v>
      </c>
      <c r="D32" s="93"/>
      <c r="E32" s="104">
        <f t="shared" si="0"/>
        <v>105000</v>
      </c>
      <c r="F32" s="107">
        <f t="shared" si="1"/>
        <v>0</v>
      </c>
      <c r="G32" s="25"/>
      <c r="H32" s="22"/>
      <c r="I32" s="22"/>
      <c r="J32" s="22"/>
      <c r="K32" s="22"/>
      <c r="L32" s="60"/>
      <c r="M32" s="3"/>
      <c r="N32" s="25"/>
      <c r="O32" s="3"/>
      <c r="P32" s="11"/>
      <c r="Q32" s="25"/>
      <c r="R32" s="18"/>
    </row>
    <row r="33" spans="1:18" ht="12.75">
      <c r="A33" s="67">
        <v>421511</v>
      </c>
      <c r="B33" s="68" t="s">
        <v>95</v>
      </c>
      <c r="C33" s="92">
        <v>180000</v>
      </c>
      <c r="D33" s="93"/>
      <c r="E33" s="104">
        <f t="shared" si="0"/>
        <v>180000</v>
      </c>
      <c r="F33" s="107">
        <f t="shared" si="1"/>
        <v>0</v>
      </c>
      <c r="G33" s="22"/>
      <c r="H33" s="22"/>
      <c r="I33" s="22"/>
      <c r="J33" s="22"/>
      <c r="K33" s="22"/>
      <c r="L33" s="59"/>
      <c r="M33" s="3"/>
      <c r="N33" s="25"/>
      <c r="O33" s="3"/>
      <c r="P33" s="11"/>
      <c r="Q33" s="25"/>
      <c r="R33" s="18"/>
    </row>
    <row r="34" spans="1:18" ht="12.75">
      <c r="A34" s="67">
        <v>421512</v>
      </c>
      <c r="B34" s="68" t="s">
        <v>96</v>
      </c>
      <c r="C34" s="92">
        <v>50000</v>
      </c>
      <c r="D34" s="93"/>
      <c r="E34" s="104">
        <f t="shared" si="0"/>
        <v>50000</v>
      </c>
      <c r="F34" s="107">
        <f t="shared" si="1"/>
        <v>0</v>
      </c>
      <c r="G34" s="22"/>
      <c r="H34" s="22"/>
      <c r="I34" s="22"/>
      <c r="J34" s="22"/>
      <c r="K34" s="22"/>
      <c r="L34" s="59"/>
      <c r="M34" s="3"/>
      <c r="N34" s="25"/>
      <c r="O34" s="3"/>
      <c r="P34" s="11"/>
      <c r="Q34" s="25"/>
      <c r="R34" s="18"/>
    </row>
    <row r="35" spans="1:18" ht="12.75">
      <c r="A35" s="67">
        <v>421513</v>
      </c>
      <c r="B35" s="68" t="s">
        <v>97</v>
      </c>
      <c r="C35" s="92">
        <v>30000</v>
      </c>
      <c r="D35" s="93"/>
      <c r="E35" s="104">
        <f t="shared" si="0"/>
        <v>30000</v>
      </c>
      <c r="F35" s="107">
        <f t="shared" si="1"/>
        <v>0</v>
      </c>
      <c r="G35" s="22"/>
      <c r="H35" s="22"/>
      <c r="I35" s="22"/>
      <c r="J35" s="22"/>
      <c r="K35" s="22"/>
      <c r="L35" s="59"/>
      <c r="M35" s="3"/>
      <c r="N35" s="25"/>
      <c r="O35" s="3"/>
      <c r="P35" s="11"/>
      <c r="Q35" s="25"/>
      <c r="R35" s="18"/>
    </row>
    <row r="36" spans="1:18" ht="12.75">
      <c r="A36" s="67">
        <v>421521</v>
      </c>
      <c r="B36" s="68" t="s">
        <v>98</v>
      </c>
      <c r="C36" s="92">
        <v>43000</v>
      </c>
      <c r="D36" s="93"/>
      <c r="E36" s="104">
        <f t="shared" si="0"/>
        <v>43000</v>
      </c>
      <c r="F36" s="107">
        <f t="shared" si="1"/>
        <v>0</v>
      </c>
      <c r="G36" s="22"/>
      <c r="H36" s="22"/>
      <c r="I36" s="22"/>
      <c r="J36" s="22"/>
      <c r="K36" s="22"/>
      <c r="L36" s="59"/>
      <c r="M36" s="3"/>
      <c r="N36" s="25"/>
      <c r="O36" s="3"/>
      <c r="P36" s="11"/>
      <c r="Q36" s="25"/>
      <c r="R36" s="18"/>
    </row>
    <row r="37" spans="1:18" ht="12.75">
      <c r="A37" s="67">
        <v>421600</v>
      </c>
      <c r="B37" s="68" t="s">
        <v>16</v>
      </c>
      <c r="C37" s="92">
        <v>0</v>
      </c>
      <c r="D37" s="93"/>
      <c r="E37" s="104">
        <f t="shared" si="0"/>
        <v>0</v>
      </c>
      <c r="F37" s="107">
        <v>0</v>
      </c>
      <c r="G37" s="22"/>
      <c r="H37" s="22"/>
      <c r="I37" s="22"/>
      <c r="J37" s="22"/>
      <c r="K37" s="22"/>
      <c r="L37" s="59"/>
      <c r="M37" s="3"/>
      <c r="N37" s="25"/>
      <c r="O37" s="3"/>
      <c r="P37" s="11"/>
      <c r="Q37" s="25"/>
      <c r="R37" s="18"/>
    </row>
    <row r="38" spans="1:18" ht="12.75">
      <c r="A38" s="67">
        <v>421900</v>
      </c>
      <c r="B38" s="68" t="s">
        <v>71</v>
      </c>
      <c r="C38" s="92">
        <v>50000</v>
      </c>
      <c r="D38" s="93"/>
      <c r="E38" s="104">
        <f t="shared" si="0"/>
        <v>50000</v>
      </c>
      <c r="F38" s="107">
        <v>0</v>
      </c>
      <c r="G38" s="22"/>
      <c r="H38" s="22"/>
      <c r="I38" s="22"/>
      <c r="J38" s="22"/>
      <c r="K38" s="22"/>
      <c r="L38" s="59"/>
      <c r="M38" s="3"/>
      <c r="N38" s="25"/>
      <c r="O38" s="3"/>
      <c r="P38" s="11"/>
      <c r="Q38" s="51"/>
      <c r="R38" s="18"/>
    </row>
    <row r="39" spans="1:18" ht="12.75">
      <c r="A39" s="65">
        <v>422000</v>
      </c>
      <c r="B39" s="66" t="s">
        <v>17</v>
      </c>
      <c r="C39" s="90">
        <f>SUM(C40:C43)</f>
        <v>8500</v>
      </c>
      <c r="D39" s="90">
        <f>D40+D41+D42+D43</f>
        <v>0</v>
      </c>
      <c r="E39" s="91">
        <f t="shared" si="0"/>
        <v>8500</v>
      </c>
      <c r="F39" s="90">
        <f t="shared" si="1"/>
        <v>0</v>
      </c>
      <c r="G39" s="42"/>
      <c r="H39" s="42"/>
      <c r="I39" s="42"/>
      <c r="J39" s="42"/>
      <c r="K39" s="42"/>
      <c r="L39" s="23"/>
      <c r="M39" s="21"/>
      <c r="N39" s="22"/>
      <c r="O39" s="54"/>
      <c r="P39" s="3"/>
      <c r="Q39" s="25"/>
      <c r="R39" s="18"/>
    </row>
    <row r="40" spans="1:17" ht="12.75">
      <c r="A40" s="67">
        <v>422111</v>
      </c>
      <c r="B40" s="68" t="s">
        <v>99</v>
      </c>
      <c r="C40" s="92">
        <v>3500</v>
      </c>
      <c r="D40" s="93"/>
      <c r="E40" s="104">
        <f t="shared" si="0"/>
        <v>3500</v>
      </c>
      <c r="F40" s="107">
        <f t="shared" si="1"/>
        <v>0</v>
      </c>
      <c r="G40" s="22"/>
      <c r="H40" s="22"/>
      <c r="I40" s="22"/>
      <c r="J40" s="22"/>
      <c r="K40" s="22"/>
      <c r="L40" s="23"/>
      <c r="M40" s="21"/>
      <c r="N40" s="22"/>
      <c r="O40" s="2"/>
      <c r="P40" s="13"/>
      <c r="Q40" s="4"/>
    </row>
    <row r="41" spans="1:18" ht="12.75">
      <c r="A41" s="67">
        <v>422199</v>
      </c>
      <c r="B41" s="68" t="s">
        <v>185</v>
      </c>
      <c r="C41" s="92">
        <v>5000</v>
      </c>
      <c r="D41" s="93"/>
      <c r="E41" s="104">
        <f t="shared" si="0"/>
        <v>5000</v>
      </c>
      <c r="F41" s="107">
        <v>0</v>
      </c>
      <c r="G41" s="22"/>
      <c r="H41" s="22"/>
      <c r="I41" s="22"/>
      <c r="J41" s="22"/>
      <c r="K41" s="22"/>
      <c r="L41" s="23"/>
      <c r="M41" s="21"/>
      <c r="N41" s="22"/>
      <c r="O41" s="2"/>
      <c r="P41" s="3"/>
      <c r="Q41" s="25"/>
      <c r="R41" s="18"/>
    </row>
    <row r="42" spans="1:17" ht="12.75">
      <c r="A42" s="67">
        <v>422300</v>
      </c>
      <c r="B42" s="68" t="s">
        <v>18</v>
      </c>
      <c r="C42" s="92">
        <v>0</v>
      </c>
      <c r="D42" s="93"/>
      <c r="E42" s="104">
        <f t="shared" si="0"/>
        <v>0</v>
      </c>
      <c r="F42" s="107">
        <v>0</v>
      </c>
      <c r="G42" s="22"/>
      <c r="H42" s="22"/>
      <c r="I42" s="22"/>
      <c r="J42" s="22"/>
      <c r="K42" s="22"/>
      <c r="L42" s="59"/>
      <c r="M42" s="3"/>
      <c r="N42" s="25"/>
      <c r="O42" s="3"/>
      <c r="P42" s="3"/>
      <c r="Q42" s="25"/>
    </row>
    <row r="43" spans="1:17" ht="12.75">
      <c r="A43" s="67">
        <v>422900</v>
      </c>
      <c r="B43" s="68" t="s">
        <v>19</v>
      </c>
      <c r="C43" s="92">
        <v>0</v>
      </c>
      <c r="D43" s="93"/>
      <c r="E43" s="104">
        <f t="shared" si="0"/>
        <v>0</v>
      </c>
      <c r="F43" s="107">
        <v>0</v>
      </c>
      <c r="G43" s="22"/>
      <c r="H43" s="22"/>
      <c r="I43" s="22"/>
      <c r="J43" s="22"/>
      <c r="K43" s="22"/>
      <c r="L43" s="59"/>
      <c r="M43" s="3"/>
      <c r="N43" s="25"/>
      <c r="O43" s="3"/>
      <c r="P43" s="3"/>
      <c r="Q43" s="25"/>
    </row>
    <row r="44" spans="1:17" ht="12.75">
      <c r="A44" s="65">
        <v>423000</v>
      </c>
      <c r="B44" s="66" t="s">
        <v>20</v>
      </c>
      <c r="C44" s="90">
        <f>SUM(C45:C63)</f>
        <v>8847883</v>
      </c>
      <c r="D44" s="90">
        <f>D45+D47+D48+D49+D50+D52+D53+D54+D55+D56+D57+D58+D60+D61+D62+D63+D46+D59+D51</f>
        <v>0</v>
      </c>
      <c r="E44" s="91">
        <f t="shared" si="0"/>
        <v>8847883</v>
      </c>
      <c r="F44" s="90">
        <f t="shared" si="1"/>
        <v>0</v>
      </c>
      <c r="G44" s="42"/>
      <c r="H44" s="42"/>
      <c r="I44" s="42"/>
      <c r="J44" s="42"/>
      <c r="K44" s="42"/>
      <c r="L44" s="59"/>
      <c r="M44" s="11"/>
      <c r="N44" s="25"/>
      <c r="O44" s="3"/>
      <c r="P44" s="11"/>
      <c r="Q44" s="25"/>
    </row>
    <row r="45" spans="1:17" ht="12.75">
      <c r="A45" s="67">
        <v>423191</v>
      </c>
      <c r="B45" s="68" t="s">
        <v>173</v>
      </c>
      <c r="C45" s="92">
        <f>93000+(2*897000)+16000</f>
        <v>1903000</v>
      </c>
      <c r="D45" s="93"/>
      <c r="E45" s="104">
        <f t="shared" si="0"/>
        <v>1903000</v>
      </c>
      <c r="F45" s="107">
        <v>0</v>
      </c>
      <c r="G45" s="22"/>
      <c r="H45" s="22"/>
      <c r="I45" s="22"/>
      <c r="J45" s="22"/>
      <c r="K45" s="22"/>
      <c r="L45" s="59"/>
      <c r="M45" s="3"/>
      <c r="N45" s="25"/>
      <c r="O45" s="3"/>
      <c r="P45" s="11"/>
      <c r="Q45" s="25"/>
    </row>
    <row r="46" spans="1:17" ht="12.75">
      <c r="A46" s="67">
        <v>423212</v>
      </c>
      <c r="B46" s="68" t="s">
        <v>156</v>
      </c>
      <c r="C46" s="92">
        <f>35583+396000</f>
        <v>431583</v>
      </c>
      <c r="D46" s="93"/>
      <c r="E46" s="104">
        <f t="shared" si="0"/>
        <v>431583</v>
      </c>
      <c r="F46" s="107">
        <v>0</v>
      </c>
      <c r="G46" s="22"/>
      <c r="H46" s="22"/>
      <c r="I46" s="22"/>
      <c r="J46" s="22"/>
      <c r="K46" s="22"/>
      <c r="L46" s="59"/>
      <c r="M46" s="3"/>
      <c r="N46" s="25"/>
      <c r="O46" s="3"/>
      <c r="P46" s="11"/>
      <c r="Q46" s="25"/>
    </row>
    <row r="47" spans="1:17" ht="12.75">
      <c r="A47" s="67">
        <v>423221</v>
      </c>
      <c r="B47" s="68" t="s">
        <v>100</v>
      </c>
      <c r="C47" s="99">
        <f>52200+200000+40000</f>
        <v>292200</v>
      </c>
      <c r="D47" s="93"/>
      <c r="E47" s="104">
        <f t="shared" si="0"/>
        <v>292200</v>
      </c>
      <c r="F47" s="107">
        <f t="shared" si="1"/>
        <v>0</v>
      </c>
      <c r="G47" s="22"/>
      <c r="H47" s="22"/>
      <c r="I47" s="22"/>
      <c r="J47" s="22"/>
      <c r="K47" s="22"/>
      <c r="L47" s="59"/>
      <c r="M47" s="11"/>
      <c r="N47" s="25"/>
      <c r="O47" s="3"/>
      <c r="P47" s="11"/>
      <c r="Q47" s="25"/>
    </row>
    <row r="48" spans="1:17" ht="12.75">
      <c r="A48" s="67">
        <v>423311</v>
      </c>
      <c r="B48" s="68" t="s">
        <v>21</v>
      </c>
      <c r="C48" s="99">
        <v>0</v>
      </c>
      <c r="D48" s="93"/>
      <c r="E48" s="104">
        <f t="shared" si="0"/>
        <v>0</v>
      </c>
      <c r="F48" s="107" t="e">
        <f t="shared" si="1"/>
        <v>#DIV/0!</v>
      </c>
      <c r="G48" s="22"/>
      <c r="H48" s="22"/>
      <c r="I48" s="22"/>
      <c r="J48" s="22"/>
      <c r="K48" s="22"/>
      <c r="L48" s="59"/>
      <c r="M48" s="3"/>
      <c r="N48" s="25"/>
      <c r="O48" s="3"/>
      <c r="P48" s="11"/>
      <c r="Q48" s="25"/>
    </row>
    <row r="49" spans="1:17" ht="12.75">
      <c r="A49" s="67">
        <v>423321</v>
      </c>
      <c r="B49" s="68" t="s">
        <v>101</v>
      </c>
      <c r="C49" s="99">
        <v>0</v>
      </c>
      <c r="D49" s="93"/>
      <c r="E49" s="104">
        <f t="shared" si="0"/>
        <v>0</v>
      </c>
      <c r="F49" s="107" t="e">
        <f t="shared" si="1"/>
        <v>#DIV/0!</v>
      </c>
      <c r="G49" s="22"/>
      <c r="H49" s="22"/>
      <c r="I49" s="22"/>
      <c r="J49" s="22"/>
      <c r="K49" s="22"/>
      <c r="L49" s="59"/>
      <c r="M49" s="3"/>
      <c r="N49" s="25"/>
      <c r="O49" s="3"/>
      <c r="P49" s="11"/>
      <c r="Q49" s="25"/>
    </row>
    <row r="50" spans="1:17" ht="12.75">
      <c r="A50" s="67">
        <v>423322</v>
      </c>
      <c r="B50" s="68" t="s">
        <v>102</v>
      </c>
      <c r="C50" s="99">
        <v>150000</v>
      </c>
      <c r="D50" s="93"/>
      <c r="E50" s="104">
        <f t="shared" si="0"/>
        <v>150000</v>
      </c>
      <c r="F50" s="107">
        <f t="shared" si="1"/>
        <v>0</v>
      </c>
      <c r="G50" s="22"/>
      <c r="H50" s="22"/>
      <c r="I50" s="22"/>
      <c r="J50" s="22"/>
      <c r="K50" s="22"/>
      <c r="L50" s="59"/>
      <c r="M50" s="3"/>
      <c r="N50" s="25"/>
      <c r="O50" s="3"/>
      <c r="P50" s="11"/>
      <c r="Q50" s="25"/>
    </row>
    <row r="51" spans="1:17" ht="12.75">
      <c r="A51" s="67">
        <v>423399</v>
      </c>
      <c r="B51" s="68" t="s">
        <v>174</v>
      </c>
      <c r="C51" s="99">
        <f>50000+80000</f>
        <v>130000</v>
      </c>
      <c r="D51" s="93"/>
      <c r="E51" s="104">
        <f t="shared" si="0"/>
        <v>130000</v>
      </c>
      <c r="F51" s="107">
        <f t="shared" si="1"/>
        <v>0</v>
      </c>
      <c r="G51" s="22"/>
      <c r="H51" s="22"/>
      <c r="I51" s="22"/>
      <c r="J51" s="22"/>
      <c r="K51" s="22"/>
      <c r="L51" s="59"/>
      <c r="M51" s="3"/>
      <c r="N51" s="25"/>
      <c r="O51" s="3"/>
      <c r="P51" s="11"/>
      <c r="Q51" s="25"/>
    </row>
    <row r="52" spans="1:17" ht="12.75">
      <c r="A52" s="67">
        <v>423411</v>
      </c>
      <c r="B52" s="68" t="s">
        <v>151</v>
      </c>
      <c r="C52" s="99">
        <v>0</v>
      </c>
      <c r="D52" s="93"/>
      <c r="E52" s="104">
        <f t="shared" si="0"/>
        <v>0</v>
      </c>
      <c r="F52" s="107" t="e">
        <f t="shared" si="1"/>
        <v>#DIV/0!</v>
      </c>
      <c r="G52" s="25"/>
      <c r="H52" s="22"/>
      <c r="I52" s="22"/>
      <c r="J52" s="22"/>
      <c r="K52" s="22"/>
      <c r="L52" s="59"/>
      <c r="M52" s="3"/>
      <c r="N52" s="25"/>
      <c r="O52" s="3"/>
      <c r="P52" s="11"/>
      <c r="Q52" s="25"/>
    </row>
    <row r="53" spans="1:17" ht="12.75">
      <c r="A53" s="67">
        <v>423413</v>
      </c>
      <c r="B53" s="68" t="s">
        <v>152</v>
      </c>
      <c r="C53" s="99">
        <v>0</v>
      </c>
      <c r="D53" s="93"/>
      <c r="E53" s="104">
        <f t="shared" si="0"/>
        <v>0</v>
      </c>
      <c r="F53" s="107" t="e">
        <f t="shared" si="1"/>
        <v>#DIV/0!</v>
      </c>
      <c r="G53" s="25"/>
      <c r="H53" s="22"/>
      <c r="I53" s="22"/>
      <c r="J53" s="22"/>
      <c r="K53" s="22"/>
      <c r="L53" s="41"/>
      <c r="M53" s="41"/>
      <c r="N53" s="49"/>
      <c r="O53" s="41"/>
      <c r="P53" s="63"/>
      <c r="Q53" s="49"/>
    </row>
    <row r="54" spans="1:17" ht="12.75">
      <c r="A54" s="67">
        <v>423419</v>
      </c>
      <c r="B54" s="68" t="s">
        <v>150</v>
      </c>
      <c r="C54" s="99">
        <v>599000</v>
      </c>
      <c r="D54" s="93"/>
      <c r="E54" s="104">
        <f t="shared" si="0"/>
        <v>599000</v>
      </c>
      <c r="F54" s="107">
        <f t="shared" si="1"/>
        <v>0</v>
      </c>
      <c r="G54" s="25"/>
      <c r="H54" s="22"/>
      <c r="I54" s="22"/>
      <c r="J54" s="22"/>
      <c r="K54" s="22"/>
      <c r="L54" s="41"/>
      <c r="M54" s="41"/>
      <c r="N54" s="49"/>
      <c r="O54" s="41"/>
      <c r="P54" s="63"/>
      <c r="Q54" s="49"/>
    </row>
    <row r="55" spans="1:17" ht="12.75">
      <c r="A55" s="67">
        <v>423421</v>
      </c>
      <c r="B55" s="68" t="s">
        <v>149</v>
      </c>
      <c r="C55" s="99">
        <v>400000</v>
      </c>
      <c r="D55" s="93"/>
      <c r="E55" s="104">
        <f t="shared" si="0"/>
        <v>400000</v>
      </c>
      <c r="F55" s="107">
        <f t="shared" si="1"/>
        <v>0</v>
      </c>
      <c r="G55" s="25"/>
      <c r="H55" s="22">
        <f>C54+C55+C57</f>
        <v>2599000</v>
      </c>
      <c r="I55" s="22"/>
      <c r="J55" s="22"/>
      <c r="K55" s="22"/>
      <c r="L55" s="41"/>
      <c r="M55" s="41"/>
      <c r="N55" s="49"/>
      <c r="O55" s="41"/>
      <c r="P55" s="63"/>
      <c r="Q55" s="49"/>
    </row>
    <row r="56" spans="1:17" ht="12.75">
      <c r="A56" s="67">
        <v>423432</v>
      </c>
      <c r="B56" s="68" t="s">
        <v>153</v>
      </c>
      <c r="C56" s="99">
        <v>70000</v>
      </c>
      <c r="D56" s="93"/>
      <c r="E56" s="104">
        <f t="shared" si="0"/>
        <v>70000</v>
      </c>
      <c r="F56" s="107">
        <f t="shared" si="1"/>
        <v>0</v>
      </c>
      <c r="G56" s="25"/>
      <c r="H56" s="22"/>
      <c r="I56" s="22"/>
      <c r="J56" s="22"/>
      <c r="K56" s="22"/>
      <c r="L56" s="41"/>
      <c r="M56" s="41"/>
      <c r="N56" s="49"/>
      <c r="O56" s="41"/>
      <c r="P56" s="63"/>
      <c r="Q56" s="49"/>
    </row>
    <row r="57" spans="1:17" ht="12.75">
      <c r="A57" s="67">
        <v>423441</v>
      </c>
      <c r="B57" s="68" t="s">
        <v>154</v>
      </c>
      <c r="C57" s="99">
        <v>1600000</v>
      </c>
      <c r="D57" s="93"/>
      <c r="E57" s="104">
        <f t="shared" si="0"/>
        <v>1600000</v>
      </c>
      <c r="F57" s="107">
        <f t="shared" si="1"/>
        <v>0</v>
      </c>
      <c r="G57" s="25"/>
      <c r="H57" s="22"/>
      <c r="I57" s="22"/>
      <c r="J57" s="22"/>
      <c r="K57" s="22"/>
      <c r="L57" s="41"/>
      <c r="M57" s="41"/>
      <c r="N57" s="49"/>
      <c r="O57" s="41"/>
      <c r="P57" s="63"/>
      <c r="Q57" s="49"/>
    </row>
    <row r="58" spans="1:17" ht="12.75">
      <c r="A58" s="67">
        <v>423511</v>
      </c>
      <c r="B58" s="68" t="s">
        <v>103</v>
      </c>
      <c r="C58" s="92">
        <v>300000</v>
      </c>
      <c r="D58" s="93"/>
      <c r="E58" s="104">
        <f t="shared" si="0"/>
        <v>300000</v>
      </c>
      <c r="F58" s="107">
        <f t="shared" si="1"/>
        <v>0</v>
      </c>
      <c r="G58" s="25"/>
      <c r="H58" s="22"/>
      <c r="I58" s="22"/>
      <c r="J58" s="22"/>
      <c r="K58" s="22"/>
      <c r="N58" s="18"/>
      <c r="Q58" s="18"/>
    </row>
    <row r="59" spans="1:17" ht="12.75">
      <c r="A59" s="67">
        <v>423531</v>
      </c>
      <c r="B59" s="68" t="s">
        <v>164</v>
      </c>
      <c r="C59" s="92">
        <v>0</v>
      </c>
      <c r="D59" s="93"/>
      <c r="E59" s="104">
        <f>C59-D59</f>
        <v>0</v>
      </c>
      <c r="F59" s="107">
        <v>0</v>
      </c>
      <c r="G59" s="25"/>
      <c r="H59" s="22"/>
      <c r="I59" s="22"/>
      <c r="J59" s="22"/>
      <c r="K59" s="22"/>
      <c r="N59" s="18"/>
      <c r="Q59" s="18"/>
    </row>
    <row r="60" spans="1:17" ht="12.75">
      <c r="A60" s="67">
        <v>423599</v>
      </c>
      <c r="B60" s="68" t="s">
        <v>104</v>
      </c>
      <c r="C60" s="92">
        <v>100000</v>
      </c>
      <c r="D60" s="93"/>
      <c r="E60" s="104">
        <f t="shared" si="0"/>
        <v>100000</v>
      </c>
      <c r="F60" s="107">
        <f t="shared" si="1"/>
        <v>0</v>
      </c>
      <c r="G60" s="25"/>
      <c r="H60" s="22"/>
      <c r="I60" s="22"/>
      <c r="J60" s="22"/>
      <c r="K60" s="22"/>
      <c r="N60" s="18"/>
      <c r="Q60" s="18"/>
    </row>
    <row r="61" spans="1:17" ht="12.75">
      <c r="A61" s="67">
        <v>423621</v>
      </c>
      <c r="B61" s="68" t="s">
        <v>105</v>
      </c>
      <c r="C61" s="92">
        <v>550000</v>
      </c>
      <c r="D61" s="93"/>
      <c r="E61" s="104">
        <f t="shared" si="0"/>
        <v>550000</v>
      </c>
      <c r="F61" s="107">
        <f t="shared" si="1"/>
        <v>0</v>
      </c>
      <c r="G61" s="25"/>
      <c r="H61" s="22"/>
      <c r="I61" s="22"/>
      <c r="J61" s="22"/>
      <c r="K61" s="22"/>
      <c r="P61" s="16"/>
      <c r="Q61" s="18"/>
    </row>
    <row r="62" spans="1:11" ht="12.75">
      <c r="A62" s="67">
        <v>423711</v>
      </c>
      <c r="B62" s="68" t="s">
        <v>22</v>
      </c>
      <c r="C62" s="92">
        <f>500000</f>
        <v>500000</v>
      </c>
      <c r="D62" s="93"/>
      <c r="E62" s="104">
        <f t="shared" si="0"/>
        <v>500000</v>
      </c>
      <c r="F62" s="107">
        <f t="shared" si="1"/>
        <v>0</v>
      </c>
      <c r="G62" s="25"/>
      <c r="H62" s="22"/>
      <c r="I62" s="22"/>
      <c r="J62" s="22"/>
      <c r="K62" s="22"/>
    </row>
    <row r="63" spans="1:11" ht="12.75">
      <c r="A63" s="67">
        <v>423911</v>
      </c>
      <c r="B63" s="68" t="s">
        <v>23</v>
      </c>
      <c r="C63" s="92">
        <f>165100+60000+897000+360000+240000+100000</f>
        <v>1822100</v>
      </c>
      <c r="D63" s="93"/>
      <c r="E63" s="104">
        <f t="shared" si="0"/>
        <v>1822100</v>
      </c>
      <c r="F63" s="107">
        <f t="shared" si="1"/>
        <v>0</v>
      </c>
      <c r="G63" s="25"/>
      <c r="H63" s="22"/>
      <c r="I63" s="22"/>
      <c r="J63" s="22"/>
      <c r="K63" s="22"/>
    </row>
    <row r="64" spans="1:11" ht="12.75">
      <c r="A64" s="65">
        <v>424000</v>
      </c>
      <c r="B64" s="66" t="s">
        <v>24</v>
      </c>
      <c r="C64" s="90">
        <f>SUM(C65:C72)</f>
        <v>3168000</v>
      </c>
      <c r="D64" s="90">
        <f>D65+D66+D67+D68+D69+D70+D72+D71</f>
        <v>0</v>
      </c>
      <c r="E64" s="91">
        <f t="shared" si="0"/>
        <v>3168000</v>
      </c>
      <c r="F64" s="90">
        <f>(D64*100)/C64</f>
        <v>0</v>
      </c>
      <c r="G64" s="42"/>
      <c r="H64" s="42"/>
      <c r="I64" s="42"/>
      <c r="J64" s="42"/>
      <c r="K64" s="42"/>
    </row>
    <row r="65" spans="1:11" ht="12.75">
      <c r="A65" s="67">
        <v>424119</v>
      </c>
      <c r="B65" s="68" t="s">
        <v>106</v>
      </c>
      <c r="C65" s="92">
        <v>0</v>
      </c>
      <c r="D65" s="93"/>
      <c r="E65" s="104">
        <f t="shared" si="0"/>
        <v>0</v>
      </c>
      <c r="F65" s="99" t="e">
        <f t="shared" si="1"/>
        <v>#DIV/0!</v>
      </c>
      <c r="G65" s="22"/>
      <c r="H65" s="22"/>
      <c r="I65" s="39"/>
      <c r="J65" s="22"/>
      <c r="K65" s="22"/>
    </row>
    <row r="66" spans="1:11" ht="12.75">
      <c r="A66" s="67">
        <v>424221</v>
      </c>
      <c r="B66" s="68" t="s">
        <v>107</v>
      </c>
      <c r="C66" s="92">
        <v>0</v>
      </c>
      <c r="D66" s="93"/>
      <c r="E66" s="104">
        <f t="shared" si="0"/>
        <v>0</v>
      </c>
      <c r="F66" s="107" t="e">
        <f t="shared" si="1"/>
        <v>#DIV/0!</v>
      </c>
      <c r="G66" s="25"/>
      <c r="H66" s="22"/>
      <c r="I66" s="22"/>
      <c r="J66" s="22"/>
      <c r="K66" s="22"/>
    </row>
    <row r="67" spans="1:11" ht="12.75">
      <c r="A67" s="67">
        <v>424331</v>
      </c>
      <c r="B67" s="68" t="s">
        <v>186</v>
      </c>
      <c r="C67" s="92">
        <v>60000</v>
      </c>
      <c r="D67" s="93"/>
      <c r="E67" s="104">
        <f t="shared" si="0"/>
        <v>60000</v>
      </c>
      <c r="F67" s="107">
        <v>0</v>
      </c>
      <c r="G67" s="22"/>
      <c r="H67" s="22"/>
      <c r="I67" s="22"/>
      <c r="J67" s="22"/>
      <c r="K67" s="22"/>
    </row>
    <row r="68" spans="1:11" ht="12.75">
      <c r="A68" s="67">
        <v>424400</v>
      </c>
      <c r="B68" s="68" t="s">
        <v>25</v>
      </c>
      <c r="C68" s="92">
        <v>0</v>
      </c>
      <c r="D68" s="93"/>
      <c r="E68" s="104">
        <f t="shared" si="0"/>
        <v>0</v>
      </c>
      <c r="F68" s="107">
        <v>0</v>
      </c>
      <c r="G68" s="22"/>
      <c r="H68" s="22"/>
      <c r="I68" s="22"/>
      <c r="J68" s="22"/>
      <c r="K68" s="22"/>
    </row>
    <row r="69" spans="1:11" ht="24">
      <c r="A69" s="67">
        <v>424500</v>
      </c>
      <c r="B69" s="73" t="s">
        <v>26</v>
      </c>
      <c r="C69" s="92">
        <v>0</v>
      </c>
      <c r="D69" s="93"/>
      <c r="E69" s="104">
        <f t="shared" si="0"/>
        <v>0</v>
      </c>
      <c r="F69" s="107">
        <v>0</v>
      </c>
      <c r="G69" s="22"/>
      <c r="H69" s="22"/>
      <c r="I69" s="22"/>
      <c r="J69" s="22"/>
      <c r="K69" s="22"/>
    </row>
    <row r="70" spans="1:11" ht="12.75">
      <c r="A70" s="67">
        <v>424611</v>
      </c>
      <c r="B70" s="73" t="s">
        <v>108</v>
      </c>
      <c r="C70" s="92">
        <v>200000</v>
      </c>
      <c r="D70" s="93"/>
      <c r="E70" s="104">
        <f t="shared" si="0"/>
        <v>200000</v>
      </c>
      <c r="F70" s="107">
        <f t="shared" si="1"/>
        <v>0</v>
      </c>
      <c r="G70" s="22"/>
      <c r="H70" s="22"/>
      <c r="I70" s="22"/>
      <c r="J70" s="22"/>
      <c r="K70" s="22"/>
    </row>
    <row r="71" spans="1:11" ht="12.75">
      <c r="A71" s="67">
        <v>424631</v>
      </c>
      <c r="B71" s="73" t="s">
        <v>165</v>
      </c>
      <c r="C71" s="92">
        <v>130000</v>
      </c>
      <c r="D71" s="93"/>
      <c r="E71" s="104">
        <f t="shared" si="0"/>
        <v>130000</v>
      </c>
      <c r="F71" s="107">
        <f t="shared" si="1"/>
        <v>0</v>
      </c>
      <c r="G71" s="22"/>
      <c r="H71" s="22"/>
      <c r="I71" s="22"/>
      <c r="J71" s="22"/>
      <c r="K71" s="22"/>
    </row>
    <row r="72" spans="1:11" ht="12.75">
      <c r="A72" s="67">
        <v>424911</v>
      </c>
      <c r="B72" s="68" t="s">
        <v>27</v>
      </c>
      <c r="C72" s="92">
        <f>153000+897000+637000+691000+400000</f>
        <v>2778000</v>
      </c>
      <c r="D72" s="93"/>
      <c r="E72" s="104">
        <f t="shared" si="0"/>
        <v>2778000</v>
      </c>
      <c r="F72" s="107">
        <f t="shared" si="1"/>
        <v>0</v>
      </c>
      <c r="G72" s="25"/>
      <c r="H72" s="22"/>
      <c r="I72" s="22"/>
      <c r="J72" s="22"/>
      <c r="K72" s="22"/>
    </row>
    <row r="73" spans="1:11" ht="24">
      <c r="A73" s="65">
        <v>425000</v>
      </c>
      <c r="B73" s="74" t="s">
        <v>28</v>
      </c>
      <c r="C73" s="90">
        <f>C74+C75+C76+C77+C78+C79+C80+C81+C82+C83+C84+C85+C86+C89+C90+C91+C92+C93+C87+C88</f>
        <v>2267839</v>
      </c>
      <c r="D73" s="90">
        <f>D74+D75+D76+D77+D78+D79+D80+D81+D82+D83+D84+D85+D86+D89+D90+D91+D92+D93</f>
        <v>0</v>
      </c>
      <c r="E73" s="91">
        <f t="shared" si="0"/>
        <v>2267839</v>
      </c>
      <c r="F73" s="90">
        <f t="shared" si="1"/>
        <v>0</v>
      </c>
      <c r="G73" s="42"/>
      <c r="H73" s="42"/>
      <c r="I73" s="42"/>
      <c r="J73" s="42"/>
      <c r="K73" s="42"/>
    </row>
    <row r="74" spans="1:15" ht="12.75">
      <c r="A74" s="67">
        <v>425111</v>
      </c>
      <c r="B74" s="68" t="s">
        <v>109</v>
      </c>
      <c r="C74" s="92">
        <v>200000</v>
      </c>
      <c r="D74" s="100"/>
      <c r="E74" s="104">
        <f t="shared" si="0"/>
        <v>200000</v>
      </c>
      <c r="F74" s="107">
        <f t="shared" si="1"/>
        <v>0</v>
      </c>
      <c r="G74" s="25"/>
      <c r="H74" s="22"/>
      <c r="I74" s="39"/>
      <c r="J74" s="22"/>
      <c r="K74" s="22"/>
      <c r="L74" s="24"/>
      <c r="O74" s="34"/>
    </row>
    <row r="75" spans="1:15" ht="12.75">
      <c r="A75" s="67">
        <v>425112</v>
      </c>
      <c r="B75" s="68" t="s">
        <v>110</v>
      </c>
      <c r="C75" s="92">
        <v>300000</v>
      </c>
      <c r="D75" s="100"/>
      <c r="E75" s="104">
        <f aca="true" t="shared" si="2" ref="E75:E150">C75-D75</f>
        <v>300000</v>
      </c>
      <c r="F75" s="107">
        <f aca="true" t="shared" si="3" ref="F75:F152">(D75*100)/C75</f>
        <v>0</v>
      </c>
      <c r="G75" s="25"/>
      <c r="H75" s="22"/>
      <c r="I75" s="39"/>
      <c r="J75" s="22"/>
      <c r="K75" s="22"/>
      <c r="L75" s="24"/>
      <c r="O75" s="34"/>
    </row>
    <row r="76" spans="1:15" ht="12.75">
      <c r="A76" s="67">
        <v>425113</v>
      </c>
      <c r="B76" s="68" t="s">
        <v>111</v>
      </c>
      <c r="C76" s="92">
        <v>99000</v>
      </c>
      <c r="D76" s="100"/>
      <c r="E76" s="104">
        <f t="shared" si="2"/>
        <v>99000</v>
      </c>
      <c r="F76" s="107">
        <f t="shared" si="3"/>
        <v>0</v>
      </c>
      <c r="G76" s="25"/>
      <c r="H76" s="22"/>
      <c r="I76" s="39"/>
      <c r="J76" s="22"/>
      <c r="K76" s="22"/>
      <c r="L76" s="24"/>
      <c r="O76" s="34"/>
    </row>
    <row r="77" spans="1:15" ht="12.75">
      <c r="A77" s="67">
        <v>425114</v>
      </c>
      <c r="B77" s="68" t="s">
        <v>112</v>
      </c>
      <c r="C77" s="92">
        <v>0</v>
      </c>
      <c r="D77" s="100"/>
      <c r="E77" s="104">
        <f t="shared" si="2"/>
        <v>0</v>
      </c>
      <c r="F77" s="107" t="e">
        <f t="shared" si="3"/>
        <v>#DIV/0!</v>
      </c>
      <c r="G77" s="25"/>
      <c r="H77" s="22"/>
      <c r="I77" s="39"/>
      <c r="J77" s="22"/>
      <c r="K77" s="22"/>
      <c r="L77" s="24"/>
      <c r="O77" s="34"/>
    </row>
    <row r="78" spans="1:15" ht="12.75">
      <c r="A78" s="67">
        <v>425115</v>
      </c>
      <c r="B78" s="68" t="s">
        <v>113</v>
      </c>
      <c r="C78" s="92">
        <v>0</v>
      </c>
      <c r="D78" s="100"/>
      <c r="E78" s="104">
        <f t="shared" si="2"/>
        <v>0</v>
      </c>
      <c r="F78" s="107" t="e">
        <f t="shared" si="3"/>
        <v>#DIV/0!</v>
      </c>
      <c r="G78" s="25"/>
      <c r="H78" s="22"/>
      <c r="I78" s="39"/>
      <c r="J78" s="22"/>
      <c r="K78" s="22"/>
      <c r="L78" s="24"/>
      <c r="O78" s="34"/>
    </row>
    <row r="79" spans="1:15" ht="12.75">
      <c r="A79" s="67">
        <v>425116</v>
      </c>
      <c r="B79" s="68" t="s">
        <v>114</v>
      </c>
      <c r="C79" s="92">
        <v>0</v>
      </c>
      <c r="D79" s="100"/>
      <c r="E79" s="104">
        <f t="shared" si="2"/>
        <v>0</v>
      </c>
      <c r="F79" s="107" t="e">
        <f t="shared" si="3"/>
        <v>#DIV/0!</v>
      </c>
      <c r="G79" s="25"/>
      <c r="H79" s="22"/>
      <c r="I79" s="39"/>
      <c r="J79" s="22"/>
      <c r="K79" s="22"/>
      <c r="L79" s="24"/>
      <c r="O79" s="34"/>
    </row>
    <row r="80" spans="1:15" ht="12.75">
      <c r="A80" s="67">
        <v>425117</v>
      </c>
      <c r="B80" s="68" t="s">
        <v>115</v>
      </c>
      <c r="C80" s="92">
        <f>200000+117000</f>
        <v>317000</v>
      </c>
      <c r="D80" s="100"/>
      <c r="E80" s="104">
        <f t="shared" si="2"/>
        <v>317000</v>
      </c>
      <c r="F80" s="107">
        <f t="shared" si="3"/>
        <v>0</v>
      </c>
      <c r="G80" s="25"/>
      <c r="H80" s="22"/>
      <c r="I80" s="39"/>
      <c r="J80" s="22"/>
      <c r="K80" s="22"/>
      <c r="L80" s="24"/>
      <c r="O80" s="34"/>
    </row>
    <row r="81" spans="1:15" ht="12.75">
      <c r="A81" s="67">
        <v>425118</v>
      </c>
      <c r="B81" s="68" t="s">
        <v>116</v>
      </c>
      <c r="C81" s="92">
        <v>0</v>
      </c>
      <c r="D81" s="100"/>
      <c r="E81" s="104">
        <f t="shared" si="2"/>
        <v>0</v>
      </c>
      <c r="F81" s="107">
        <v>0</v>
      </c>
      <c r="G81" s="25"/>
      <c r="H81" s="22"/>
      <c r="I81" s="39"/>
      <c r="J81" s="22"/>
      <c r="K81" s="22"/>
      <c r="L81" s="24"/>
      <c r="O81" s="34"/>
    </row>
    <row r="82" spans="1:15" ht="25.5" customHeight="1">
      <c r="A82" s="67">
        <v>425119</v>
      </c>
      <c r="B82" s="75" t="s">
        <v>117</v>
      </c>
      <c r="C82" s="92">
        <f>460000-18161</f>
        <v>441839</v>
      </c>
      <c r="D82" s="100"/>
      <c r="E82" s="104">
        <f t="shared" si="2"/>
        <v>441839</v>
      </c>
      <c r="F82" s="107">
        <f t="shared" si="3"/>
        <v>0</v>
      </c>
      <c r="G82" s="25"/>
      <c r="H82" s="22"/>
      <c r="I82" s="39"/>
      <c r="J82" s="22"/>
      <c r="K82" s="22"/>
      <c r="L82" s="24"/>
      <c r="O82" s="34"/>
    </row>
    <row r="83" spans="1:15" ht="12.75">
      <c r="A83" s="67">
        <v>425191</v>
      </c>
      <c r="B83" s="68" t="s">
        <v>118</v>
      </c>
      <c r="C83" s="92">
        <f>450000-60000</f>
        <v>390000</v>
      </c>
      <c r="D83" s="100"/>
      <c r="E83" s="104">
        <f t="shared" si="2"/>
        <v>390000</v>
      </c>
      <c r="F83" s="107">
        <f t="shared" si="3"/>
        <v>0</v>
      </c>
      <c r="G83" s="25"/>
      <c r="H83" s="22"/>
      <c r="I83" s="39"/>
      <c r="J83" s="22"/>
      <c r="K83" s="22"/>
      <c r="L83" s="24"/>
      <c r="O83" s="34"/>
    </row>
    <row r="84" spans="1:15" ht="12.75">
      <c r="A84" s="67">
        <v>425211</v>
      </c>
      <c r="B84" s="68" t="s">
        <v>119</v>
      </c>
      <c r="C84" s="92">
        <v>200000</v>
      </c>
      <c r="D84" s="100"/>
      <c r="E84" s="104">
        <f t="shared" si="2"/>
        <v>200000</v>
      </c>
      <c r="F84" s="107">
        <f t="shared" si="3"/>
        <v>0</v>
      </c>
      <c r="G84" s="25"/>
      <c r="H84" s="22"/>
      <c r="I84" s="39"/>
      <c r="J84" s="22"/>
      <c r="K84" s="22"/>
      <c r="L84" s="24"/>
      <c r="O84" s="34"/>
    </row>
    <row r="85" spans="1:15" ht="12.75">
      <c r="A85" s="67">
        <v>425222</v>
      </c>
      <c r="B85" s="68" t="s">
        <v>120</v>
      </c>
      <c r="C85" s="92">
        <v>60000</v>
      </c>
      <c r="D85" s="100"/>
      <c r="E85" s="104">
        <f t="shared" si="2"/>
        <v>60000</v>
      </c>
      <c r="F85" s="107">
        <f t="shared" si="3"/>
        <v>0</v>
      </c>
      <c r="G85" s="25"/>
      <c r="H85" s="22"/>
      <c r="I85" s="39"/>
      <c r="J85" s="22"/>
      <c r="K85" s="22"/>
      <c r="L85" s="24"/>
      <c r="O85" s="34"/>
    </row>
    <row r="86" spans="1:15" ht="12.75">
      <c r="A86" s="67">
        <v>425224</v>
      </c>
      <c r="B86" s="68" t="s">
        <v>121</v>
      </c>
      <c r="C86" s="92">
        <v>50000</v>
      </c>
      <c r="D86" s="100"/>
      <c r="E86" s="104">
        <f t="shared" si="2"/>
        <v>50000</v>
      </c>
      <c r="F86" s="107">
        <f t="shared" si="3"/>
        <v>0</v>
      </c>
      <c r="G86" s="25"/>
      <c r="H86" s="22"/>
      <c r="I86" s="39"/>
      <c r="J86" s="22"/>
      <c r="K86" s="22"/>
      <c r="L86" s="24"/>
      <c r="O86" s="34"/>
    </row>
    <row r="87" spans="1:15" ht="24">
      <c r="A87" s="67">
        <v>425231</v>
      </c>
      <c r="B87" s="75" t="s">
        <v>189</v>
      </c>
      <c r="C87" s="92">
        <v>100000</v>
      </c>
      <c r="D87" s="100"/>
      <c r="E87" s="104">
        <f t="shared" si="2"/>
        <v>100000</v>
      </c>
      <c r="F87" s="107">
        <f t="shared" si="3"/>
        <v>0</v>
      </c>
      <c r="G87" s="25"/>
      <c r="H87" s="22"/>
      <c r="I87" s="39"/>
      <c r="J87" s="22"/>
      <c r="K87" s="22"/>
      <c r="L87" s="24"/>
      <c r="O87" s="34"/>
    </row>
    <row r="88" spans="1:15" ht="12.75">
      <c r="A88" s="67">
        <v>425281</v>
      </c>
      <c r="B88" s="75" t="s">
        <v>190</v>
      </c>
      <c r="C88" s="92">
        <v>10000</v>
      </c>
      <c r="D88" s="100"/>
      <c r="E88" s="104">
        <f t="shared" si="2"/>
        <v>10000</v>
      </c>
      <c r="F88" s="107">
        <f t="shared" si="3"/>
        <v>0</v>
      </c>
      <c r="G88" s="25"/>
      <c r="H88" s="22"/>
      <c r="I88" s="39"/>
      <c r="J88" s="22"/>
      <c r="K88" s="22"/>
      <c r="L88" s="24"/>
      <c r="O88" s="34"/>
    </row>
    <row r="89" spans="1:15" ht="12.75">
      <c r="A89" s="67">
        <v>425225</v>
      </c>
      <c r="B89" s="68" t="s">
        <v>122</v>
      </c>
      <c r="C89" s="92"/>
      <c r="D89" s="100"/>
      <c r="E89" s="104">
        <f t="shared" si="2"/>
        <v>0</v>
      </c>
      <c r="F89" s="107" t="e">
        <f t="shared" si="3"/>
        <v>#DIV/0!</v>
      </c>
      <c r="G89" s="25"/>
      <c r="H89" s="22"/>
      <c r="I89" s="39"/>
      <c r="J89" s="22"/>
      <c r="K89" s="22"/>
      <c r="L89" s="24"/>
      <c r="O89" s="34"/>
    </row>
    <row r="90" spans="1:15" ht="12.75">
      <c r="A90" s="67">
        <v>425227</v>
      </c>
      <c r="B90" s="68" t="s">
        <v>123</v>
      </c>
      <c r="C90" s="92"/>
      <c r="D90" s="100"/>
      <c r="E90" s="104">
        <f t="shared" si="2"/>
        <v>0</v>
      </c>
      <c r="F90" s="107" t="e">
        <f t="shared" si="3"/>
        <v>#DIV/0!</v>
      </c>
      <c r="G90" s="25"/>
      <c r="H90" s="22"/>
      <c r="I90" s="39"/>
      <c r="J90" s="22"/>
      <c r="K90" s="22"/>
      <c r="L90" s="24"/>
      <c r="O90" s="34"/>
    </row>
    <row r="91" spans="1:15" ht="24">
      <c r="A91" s="67">
        <v>425231</v>
      </c>
      <c r="B91" s="75" t="s">
        <v>124</v>
      </c>
      <c r="C91" s="92"/>
      <c r="D91" s="100"/>
      <c r="E91" s="104">
        <f t="shared" si="2"/>
        <v>0</v>
      </c>
      <c r="F91" s="107" t="e">
        <f t="shared" si="3"/>
        <v>#DIV/0!</v>
      </c>
      <c r="G91" s="25"/>
      <c r="H91" s="22"/>
      <c r="I91" s="39"/>
      <c r="J91" s="22"/>
      <c r="K91" s="22"/>
      <c r="L91" s="24"/>
      <c r="O91" s="34"/>
    </row>
    <row r="92" spans="1:15" ht="24">
      <c r="A92" s="67">
        <v>425281</v>
      </c>
      <c r="B92" s="75" t="s">
        <v>125</v>
      </c>
      <c r="C92" s="92"/>
      <c r="D92" s="100"/>
      <c r="E92" s="104">
        <f t="shared" si="2"/>
        <v>0</v>
      </c>
      <c r="F92" s="107" t="e">
        <f t="shared" si="3"/>
        <v>#DIV/0!</v>
      </c>
      <c r="G92" s="22"/>
      <c r="H92" s="22"/>
      <c r="I92" s="22"/>
      <c r="J92" s="22"/>
      <c r="K92" s="22"/>
      <c r="L92" s="61"/>
      <c r="M92" s="57"/>
      <c r="N92" s="42"/>
      <c r="O92" s="42"/>
    </row>
    <row r="93" spans="1:15" ht="24">
      <c r="A93" s="67">
        <v>425291</v>
      </c>
      <c r="B93" s="75" t="s">
        <v>126</v>
      </c>
      <c r="C93" s="92">
        <v>100000</v>
      </c>
      <c r="D93" s="100"/>
      <c r="E93" s="104">
        <f t="shared" si="2"/>
        <v>100000</v>
      </c>
      <c r="F93" s="107">
        <f t="shared" si="3"/>
        <v>0</v>
      </c>
      <c r="G93" s="22"/>
      <c r="H93" s="22"/>
      <c r="I93" s="22"/>
      <c r="J93" s="22"/>
      <c r="K93" s="22"/>
      <c r="L93" s="61"/>
      <c r="M93" s="57"/>
      <c r="N93" s="42"/>
      <c r="O93" s="42"/>
    </row>
    <row r="94" spans="1:15" ht="12.75">
      <c r="A94" s="65">
        <v>426000</v>
      </c>
      <c r="B94" s="66" t="s">
        <v>29</v>
      </c>
      <c r="C94" s="90">
        <f>SUM(C95:C110)</f>
        <v>5521145</v>
      </c>
      <c r="D94" s="90">
        <f>D95+D96+D98+D99+D100+D101+D102+D103+D104+D105+D106+D107+D108+D109+D110+D97</f>
        <v>0</v>
      </c>
      <c r="E94" s="91">
        <f t="shared" si="2"/>
        <v>5521145</v>
      </c>
      <c r="F94" s="90">
        <f t="shared" si="3"/>
        <v>0</v>
      </c>
      <c r="G94" s="42"/>
      <c r="H94" s="42">
        <f>SUM(H95:H110)</f>
        <v>0</v>
      </c>
      <c r="I94" s="42">
        <f>SUM(I95:I110)</f>
        <v>0</v>
      </c>
      <c r="J94" s="42"/>
      <c r="K94" s="42"/>
      <c r="L94" s="62"/>
      <c r="M94" s="56"/>
      <c r="N94" s="22"/>
      <c r="O94" s="22"/>
    </row>
    <row r="95" spans="1:15" ht="12.75">
      <c r="A95" s="67">
        <v>426111</v>
      </c>
      <c r="B95" s="68" t="s">
        <v>127</v>
      </c>
      <c r="C95" s="92">
        <f>180000+120000</f>
        <v>300000</v>
      </c>
      <c r="D95" s="93"/>
      <c r="E95" s="104">
        <f t="shared" si="2"/>
        <v>300000</v>
      </c>
      <c r="F95" s="107">
        <f t="shared" si="3"/>
        <v>0</v>
      </c>
      <c r="G95" s="22"/>
      <c r="H95" s="22"/>
      <c r="I95" s="22"/>
      <c r="J95" s="22"/>
      <c r="K95" s="22"/>
      <c r="L95" s="61"/>
      <c r="M95" s="57"/>
      <c r="N95" s="42"/>
      <c r="O95" s="42"/>
    </row>
    <row r="96" spans="1:15" ht="12.75">
      <c r="A96" s="67">
        <v>426131</v>
      </c>
      <c r="B96" s="68" t="s">
        <v>128</v>
      </c>
      <c r="C96" s="92">
        <f>80000+20000</f>
        <v>100000</v>
      </c>
      <c r="D96" s="93"/>
      <c r="E96" s="104">
        <f t="shared" si="2"/>
        <v>100000</v>
      </c>
      <c r="F96" s="107">
        <f t="shared" si="3"/>
        <v>0</v>
      </c>
      <c r="G96" s="22"/>
      <c r="H96" s="22"/>
      <c r="I96" s="22"/>
      <c r="J96" s="22"/>
      <c r="K96" s="22"/>
      <c r="L96" s="61"/>
      <c r="M96" s="57"/>
      <c r="N96" s="42"/>
      <c r="O96" s="42"/>
    </row>
    <row r="97" spans="1:15" ht="12.75">
      <c r="A97" s="67">
        <v>426191</v>
      </c>
      <c r="B97" s="68" t="s">
        <v>167</v>
      </c>
      <c r="C97" s="92">
        <v>260000</v>
      </c>
      <c r="D97" s="93"/>
      <c r="E97" s="104">
        <f t="shared" si="2"/>
        <v>260000</v>
      </c>
      <c r="F97" s="107">
        <f t="shared" si="3"/>
        <v>0</v>
      </c>
      <c r="G97" s="22"/>
      <c r="H97" s="22"/>
      <c r="I97" s="22"/>
      <c r="J97" s="22"/>
      <c r="K97" s="22"/>
      <c r="L97" s="61"/>
      <c r="M97" s="57"/>
      <c r="N97" s="42"/>
      <c r="O97" s="42"/>
    </row>
    <row r="98" spans="1:15" ht="12.75">
      <c r="A98" s="67">
        <v>426291</v>
      </c>
      <c r="B98" s="68" t="s">
        <v>129</v>
      </c>
      <c r="C98" s="92">
        <v>0</v>
      </c>
      <c r="D98" s="93"/>
      <c r="E98" s="104">
        <f t="shared" si="2"/>
        <v>0</v>
      </c>
      <c r="F98" s="107" t="e">
        <f t="shared" si="3"/>
        <v>#DIV/0!</v>
      </c>
      <c r="G98" s="22"/>
      <c r="H98" s="22"/>
      <c r="I98" s="22"/>
      <c r="J98" s="22"/>
      <c r="K98" s="22"/>
      <c r="L98" s="62"/>
      <c r="M98" s="56"/>
      <c r="N98" s="22"/>
      <c r="O98" s="22"/>
    </row>
    <row r="99" spans="1:15" ht="24">
      <c r="A99" s="67">
        <v>426311</v>
      </c>
      <c r="B99" s="73" t="s">
        <v>130</v>
      </c>
      <c r="C99" s="92">
        <v>300000</v>
      </c>
      <c r="D99" s="93"/>
      <c r="E99" s="104">
        <f t="shared" si="2"/>
        <v>300000</v>
      </c>
      <c r="F99" s="107">
        <f t="shared" si="3"/>
        <v>0</v>
      </c>
      <c r="G99" s="22"/>
      <c r="H99" s="22"/>
      <c r="I99" s="22"/>
      <c r="J99" s="22"/>
      <c r="K99" s="22"/>
      <c r="L99" s="62"/>
      <c r="M99" s="56"/>
      <c r="N99" s="22"/>
      <c r="O99" s="22"/>
    </row>
    <row r="100" spans="1:15" ht="12.75">
      <c r="A100" s="67">
        <v>426411</v>
      </c>
      <c r="B100" s="68" t="s">
        <v>131</v>
      </c>
      <c r="C100" s="92">
        <v>800000</v>
      </c>
      <c r="D100" s="93"/>
      <c r="E100" s="104">
        <f t="shared" si="2"/>
        <v>800000</v>
      </c>
      <c r="F100" s="107">
        <f t="shared" si="3"/>
        <v>0</v>
      </c>
      <c r="G100" s="25"/>
      <c r="H100" s="22"/>
      <c r="I100" s="22"/>
      <c r="J100" s="22"/>
      <c r="K100" s="22"/>
      <c r="L100" s="62"/>
      <c r="M100" s="56"/>
      <c r="N100" s="22"/>
      <c r="O100" s="22"/>
    </row>
    <row r="101" spans="1:15" ht="12.75">
      <c r="A101" s="67">
        <v>426491</v>
      </c>
      <c r="B101" s="68" t="s">
        <v>132</v>
      </c>
      <c r="C101" s="92">
        <v>250000</v>
      </c>
      <c r="D101" s="93"/>
      <c r="E101" s="104">
        <f t="shared" si="2"/>
        <v>250000</v>
      </c>
      <c r="F101" s="107">
        <f t="shared" si="3"/>
        <v>0</v>
      </c>
      <c r="G101" s="25"/>
      <c r="H101" s="22"/>
      <c r="I101" s="22"/>
      <c r="J101" s="22"/>
      <c r="K101" s="22"/>
      <c r="L101" s="38"/>
      <c r="M101" s="58"/>
      <c r="N101" s="26"/>
      <c r="O101" s="26"/>
    </row>
    <row r="102" spans="1:11" ht="12.75">
      <c r="A102" s="67">
        <v>426541</v>
      </c>
      <c r="B102" s="68" t="s">
        <v>166</v>
      </c>
      <c r="C102" s="92">
        <v>60000</v>
      </c>
      <c r="D102" s="93"/>
      <c r="E102" s="104">
        <f t="shared" si="2"/>
        <v>60000</v>
      </c>
      <c r="F102" s="107">
        <f t="shared" si="3"/>
        <v>0</v>
      </c>
      <c r="G102" s="22"/>
      <c r="H102" s="22"/>
      <c r="I102" s="22"/>
      <c r="J102" s="22"/>
      <c r="K102" s="22"/>
    </row>
    <row r="103" spans="1:11" ht="12.75">
      <c r="A103" s="67">
        <v>426621</v>
      </c>
      <c r="B103" s="68" t="s">
        <v>160</v>
      </c>
      <c r="C103" s="92">
        <v>0</v>
      </c>
      <c r="D103" s="93"/>
      <c r="E103" s="104">
        <f t="shared" si="2"/>
        <v>0</v>
      </c>
      <c r="F103" s="107" t="e">
        <f t="shared" si="3"/>
        <v>#DIV/0!</v>
      </c>
      <c r="G103" s="22"/>
      <c r="H103" s="22"/>
      <c r="I103" s="22"/>
      <c r="J103" s="22"/>
      <c r="K103" s="22"/>
    </row>
    <row r="104" spans="1:11" ht="12.75">
      <c r="A104" s="67">
        <v>426631</v>
      </c>
      <c r="B104" s="68" t="s">
        <v>157</v>
      </c>
      <c r="C104" s="92">
        <v>500000</v>
      </c>
      <c r="D104" s="93"/>
      <c r="E104" s="104">
        <f t="shared" si="2"/>
        <v>500000</v>
      </c>
      <c r="F104" s="107">
        <f t="shared" si="3"/>
        <v>0</v>
      </c>
      <c r="G104" s="22"/>
      <c r="H104" s="22"/>
      <c r="I104" s="22"/>
      <c r="J104" s="22"/>
      <c r="K104" s="22"/>
    </row>
    <row r="105" spans="1:15" ht="12.75">
      <c r="A105" s="67">
        <v>426700</v>
      </c>
      <c r="B105" s="68" t="s">
        <v>30</v>
      </c>
      <c r="C105" s="92">
        <v>0</v>
      </c>
      <c r="D105" s="93"/>
      <c r="E105" s="104">
        <f t="shared" si="2"/>
        <v>0</v>
      </c>
      <c r="F105" s="107">
        <v>0</v>
      </c>
      <c r="G105" s="22"/>
      <c r="H105" s="22"/>
      <c r="I105" s="22"/>
      <c r="J105" s="22"/>
      <c r="K105" s="22"/>
      <c r="L105" s="16"/>
      <c r="O105" s="28"/>
    </row>
    <row r="106" spans="1:11" ht="12.75">
      <c r="A106" s="67">
        <v>426812</v>
      </c>
      <c r="B106" s="68" t="s">
        <v>133</v>
      </c>
      <c r="C106" s="92">
        <v>300000</v>
      </c>
      <c r="D106" s="93"/>
      <c r="E106" s="104">
        <f t="shared" si="2"/>
        <v>300000</v>
      </c>
      <c r="F106" s="107">
        <f t="shared" si="3"/>
        <v>0</v>
      </c>
      <c r="G106" s="22"/>
      <c r="H106" s="22"/>
      <c r="I106" s="22"/>
      <c r="J106" s="22"/>
      <c r="K106" s="22"/>
    </row>
    <row r="107" spans="1:11" ht="12.75">
      <c r="A107" s="67">
        <v>426821</v>
      </c>
      <c r="B107" s="68" t="s">
        <v>134</v>
      </c>
      <c r="C107" s="92">
        <v>45000</v>
      </c>
      <c r="D107" s="93"/>
      <c r="E107" s="104">
        <f t="shared" si="2"/>
        <v>45000</v>
      </c>
      <c r="F107" s="107">
        <f t="shared" si="3"/>
        <v>0</v>
      </c>
      <c r="G107" s="22"/>
      <c r="H107" s="22"/>
      <c r="I107" s="22"/>
      <c r="J107" s="22"/>
      <c r="K107" s="22"/>
    </row>
    <row r="108" spans="1:11" ht="12.75">
      <c r="A108" s="67">
        <v>426822</v>
      </c>
      <c r="B108" s="68" t="s">
        <v>135</v>
      </c>
      <c r="C108" s="92">
        <v>45000</v>
      </c>
      <c r="D108" s="93"/>
      <c r="E108" s="104">
        <f t="shared" si="2"/>
        <v>45000</v>
      </c>
      <c r="F108" s="107">
        <f t="shared" si="3"/>
        <v>0</v>
      </c>
      <c r="G108" s="22"/>
      <c r="H108" s="22"/>
      <c r="I108" s="22"/>
      <c r="J108" s="22"/>
      <c r="K108" s="22"/>
    </row>
    <row r="109" spans="1:11" ht="12.75">
      <c r="A109" s="67">
        <v>426913</v>
      </c>
      <c r="B109" s="68" t="s">
        <v>158</v>
      </c>
      <c r="C109" s="92">
        <v>50000</v>
      </c>
      <c r="D109" s="93"/>
      <c r="E109" s="104">
        <f t="shared" si="2"/>
        <v>50000</v>
      </c>
      <c r="F109" s="107">
        <f t="shared" si="3"/>
        <v>0</v>
      </c>
      <c r="G109" s="22"/>
      <c r="H109" s="22"/>
      <c r="I109" s="22"/>
      <c r="J109" s="22"/>
      <c r="K109" s="22"/>
    </row>
    <row r="110" spans="1:11" ht="12.75">
      <c r="A110" s="67">
        <v>426919</v>
      </c>
      <c r="B110" s="68" t="s">
        <v>136</v>
      </c>
      <c r="C110" s="92">
        <f>511145+2000000</f>
        <v>2511145</v>
      </c>
      <c r="D110" s="93"/>
      <c r="E110" s="104">
        <f t="shared" si="2"/>
        <v>2511145</v>
      </c>
      <c r="F110" s="107">
        <f t="shared" si="3"/>
        <v>0</v>
      </c>
      <c r="G110" s="25"/>
      <c r="H110" s="22"/>
      <c r="I110" s="22"/>
      <c r="J110" s="22"/>
      <c r="K110" s="22"/>
    </row>
    <row r="111" spans="1:11" ht="12.75">
      <c r="A111" s="76">
        <v>465000</v>
      </c>
      <c r="B111" s="77" t="s">
        <v>171</v>
      </c>
      <c r="C111" s="103">
        <f>C112</f>
        <v>2022732</v>
      </c>
      <c r="D111" s="102">
        <f>D112</f>
        <v>0</v>
      </c>
      <c r="E111" s="91">
        <f t="shared" si="2"/>
        <v>2022732</v>
      </c>
      <c r="F111" s="91">
        <f t="shared" si="3"/>
        <v>0</v>
      </c>
      <c r="G111" s="43"/>
      <c r="H111" s="42"/>
      <c r="I111" s="42"/>
      <c r="J111" s="42"/>
      <c r="K111" s="42"/>
    </row>
    <row r="112" spans="1:11" ht="12.75">
      <c r="A112" s="78">
        <v>465112</v>
      </c>
      <c r="B112" s="75" t="s">
        <v>172</v>
      </c>
      <c r="C112" s="92">
        <v>2022732</v>
      </c>
      <c r="D112" s="93"/>
      <c r="E112" s="104">
        <f t="shared" si="2"/>
        <v>2022732</v>
      </c>
      <c r="F112" s="107">
        <f t="shared" si="3"/>
        <v>0</v>
      </c>
      <c r="G112" s="25"/>
      <c r="H112" s="22"/>
      <c r="I112" s="22"/>
      <c r="J112" s="22"/>
      <c r="K112" s="22"/>
    </row>
    <row r="113" spans="1:11" ht="12.75">
      <c r="A113" s="78">
        <v>465000</v>
      </c>
      <c r="B113" s="80" t="s">
        <v>171</v>
      </c>
      <c r="C113" s="92">
        <v>0</v>
      </c>
      <c r="D113" s="93"/>
      <c r="E113" s="104">
        <f t="shared" si="2"/>
        <v>0</v>
      </c>
      <c r="F113" s="107" t="e">
        <f t="shared" si="3"/>
        <v>#DIV/0!</v>
      </c>
      <c r="G113" s="25"/>
      <c r="H113" s="22"/>
      <c r="I113" s="22"/>
      <c r="J113" s="22"/>
      <c r="K113" s="22"/>
    </row>
    <row r="114" spans="1:11" ht="12.75">
      <c r="A114" s="65">
        <v>472000</v>
      </c>
      <c r="B114" s="66" t="s">
        <v>31</v>
      </c>
      <c r="C114" s="90">
        <f>SUM(C115:C123)</f>
        <v>210000</v>
      </c>
      <c r="D114" s="91">
        <f>D115+D116+D117+D118+D119+D120+D121+D122+D123</f>
        <v>0</v>
      </c>
      <c r="E114" s="91">
        <f t="shared" si="2"/>
        <v>210000</v>
      </c>
      <c r="F114" s="91">
        <v>0</v>
      </c>
      <c r="G114" s="42"/>
      <c r="H114" s="42"/>
      <c r="I114" s="42"/>
      <c r="J114" s="42"/>
      <c r="K114" s="42"/>
    </row>
    <row r="115" spans="1:11" ht="24">
      <c r="A115" s="67">
        <v>472100</v>
      </c>
      <c r="B115" s="73" t="s">
        <v>32</v>
      </c>
      <c r="C115" s="92">
        <v>0</v>
      </c>
      <c r="D115" s="93"/>
      <c r="E115" s="104">
        <f t="shared" si="2"/>
        <v>0</v>
      </c>
      <c r="F115" s="107">
        <v>0</v>
      </c>
      <c r="G115" s="22"/>
      <c r="H115" s="22"/>
      <c r="I115" s="22"/>
      <c r="J115" s="22"/>
      <c r="K115" s="22"/>
    </row>
    <row r="116" spans="1:11" ht="12.75">
      <c r="A116" s="67">
        <v>472200</v>
      </c>
      <c r="B116" s="68" t="s">
        <v>33</v>
      </c>
      <c r="C116" s="92">
        <v>0</v>
      </c>
      <c r="D116" s="93"/>
      <c r="E116" s="104">
        <f t="shared" si="2"/>
        <v>0</v>
      </c>
      <c r="F116" s="107">
        <v>0</v>
      </c>
      <c r="G116" s="22"/>
      <c r="H116" s="22"/>
      <c r="I116" s="22"/>
      <c r="J116" s="22"/>
      <c r="K116" s="22"/>
    </row>
    <row r="117" spans="1:11" ht="12.75">
      <c r="A117" s="67">
        <v>472300</v>
      </c>
      <c r="B117" s="68" t="s">
        <v>34</v>
      </c>
      <c r="C117" s="92">
        <v>0</v>
      </c>
      <c r="D117" s="93"/>
      <c r="E117" s="104">
        <f t="shared" si="2"/>
        <v>0</v>
      </c>
      <c r="F117" s="107">
        <v>0</v>
      </c>
      <c r="G117" s="22"/>
      <c r="H117" s="22"/>
      <c r="I117" s="22"/>
      <c r="J117" s="22"/>
      <c r="K117" s="22"/>
    </row>
    <row r="118" spans="1:11" ht="12.75">
      <c r="A118" s="67">
        <v>472400</v>
      </c>
      <c r="B118" s="68" t="s">
        <v>35</v>
      </c>
      <c r="C118" s="92">
        <v>0</v>
      </c>
      <c r="D118" s="93"/>
      <c r="E118" s="104">
        <f t="shared" si="2"/>
        <v>0</v>
      </c>
      <c r="F118" s="107">
        <v>0</v>
      </c>
      <c r="G118" s="22"/>
      <c r="H118" s="22"/>
      <c r="I118" s="22"/>
      <c r="J118" s="22"/>
      <c r="K118" s="22"/>
    </row>
    <row r="119" spans="1:11" ht="12.75">
      <c r="A119" s="67">
        <v>472500</v>
      </c>
      <c r="B119" s="68" t="s">
        <v>36</v>
      </c>
      <c r="C119" s="92">
        <v>0</v>
      </c>
      <c r="D119" s="93"/>
      <c r="E119" s="104">
        <f t="shared" si="2"/>
        <v>0</v>
      </c>
      <c r="F119" s="107">
        <v>0</v>
      </c>
      <c r="G119" s="22"/>
      <c r="H119" s="22"/>
      <c r="I119" s="22"/>
      <c r="J119" s="22"/>
      <c r="K119" s="22"/>
    </row>
    <row r="120" spans="1:11" ht="12.75">
      <c r="A120" s="67">
        <v>472600</v>
      </c>
      <c r="B120" s="68" t="s">
        <v>37</v>
      </c>
      <c r="C120" s="92">
        <v>0</v>
      </c>
      <c r="D120" s="93"/>
      <c r="E120" s="104">
        <f t="shared" si="2"/>
        <v>0</v>
      </c>
      <c r="F120" s="107">
        <v>0</v>
      </c>
      <c r="G120" s="22"/>
      <c r="H120" s="22"/>
      <c r="I120" s="39"/>
      <c r="J120" s="22"/>
      <c r="K120" s="22"/>
    </row>
    <row r="121" spans="1:11" ht="24">
      <c r="A121" s="67">
        <v>472713</v>
      </c>
      <c r="B121" s="73" t="s">
        <v>38</v>
      </c>
      <c r="C121" s="92">
        <v>210000</v>
      </c>
      <c r="D121" s="93"/>
      <c r="E121" s="104">
        <f t="shared" si="2"/>
        <v>210000</v>
      </c>
      <c r="F121" s="107">
        <v>0</v>
      </c>
      <c r="G121" s="22"/>
      <c r="H121" s="22"/>
      <c r="I121" s="22"/>
      <c r="J121" s="22"/>
      <c r="K121" s="22"/>
    </row>
    <row r="122" spans="1:11" ht="12.75">
      <c r="A122" s="67">
        <v>472800</v>
      </c>
      <c r="B122" s="68" t="s">
        <v>39</v>
      </c>
      <c r="C122" s="92">
        <v>0</v>
      </c>
      <c r="D122" s="93"/>
      <c r="E122" s="104">
        <f t="shared" si="2"/>
        <v>0</v>
      </c>
      <c r="F122" s="107">
        <v>0</v>
      </c>
      <c r="G122" s="22"/>
      <c r="H122" s="22"/>
      <c r="I122" s="22"/>
      <c r="J122" s="22"/>
      <c r="K122" s="22"/>
    </row>
    <row r="123" spans="1:11" ht="12.75">
      <c r="A123" s="67">
        <v>472900</v>
      </c>
      <c r="B123" s="68" t="s">
        <v>40</v>
      </c>
      <c r="C123" s="92">
        <v>0</v>
      </c>
      <c r="D123" s="93"/>
      <c r="E123" s="104">
        <f t="shared" si="2"/>
        <v>0</v>
      </c>
      <c r="F123" s="107">
        <v>0</v>
      </c>
      <c r="G123" s="22"/>
      <c r="H123" s="22"/>
      <c r="I123" s="22"/>
      <c r="J123" s="22"/>
      <c r="K123" s="22"/>
    </row>
    <row r="124" spans="1:12" ht="12.75">
      <c r="A124" s="76">
        <v>481000</v>
      </c>
      <c r="B124" s="77" t="s">
        <v>64</v>
      </c>
      <c r="C124" s="103">
        <f>C125+C126+C127+C128</f>
        <v>24700000</v>
      </c>
      <c r="D124" s="102">
        <f>D125+D126+D127+D128</f>
        <v>0</v>
      </c>
      <c r="E124" s="91">
        <f t="shared" si="2"/>
        <v>24700000</v>
      </c>
      <c r="F124" s="90">
        <f t="shared" si="3"/>
        <v>0</v>
      </c>
      <c r="G124" s="42"/>
      <c r="H124" s="42"/>
      <c r="I124" s="42"/>
      <c r="J124" s="42"/>
      <c r="K124" s="42"/>
      <c r="L124" s="42"/>
    </row>
    <row r="125" spans="1:12" ht="13.5" customHeight="1">
      <c r="A125" s="79">
        <v>481911</v>
      </c>
      <c r="B125" s="80" t="s">
        <v>137</v>
      </c>
      <c r="C125" s="99">
        <v>18000000</v>
      </c>
      <c r="D125" s="104"/>
      <c r="E125" s="104">
        <f t="shared" si="2"/>
        <v>18000000</v>
      </c>
      <c r="F125" s="107">
        <f t="shared" si="3"/>
        <v>0</v>
      </c>
      <c r="G125" s="42"/>
      <c r="H125" s="42"/>
      <c r="I125" s="42"/>
      <c r="J125" s="42"/>
      <c r="K125" s="42"/>
      <c r="L125" s="55"/>
    </row>
    <row r="126" spans="1:12" ht="12.75">
      <c r="A126" s="79">
        <v>481931</v>
      </c>
      <c r="B126" s="80" t="s">
        <v>138</v>
      </c>
      <c r="C126" s="99">
        <v>1000000</v>
      </c>
      <c r="D126" s="104"/>
      <c r="E126" s="104">
        <f t="shared" si="2"/>
        <v>1000000</v>
      </c>
      <c r="F126" s="107">
        <f t="shared" si="3"/>
        <v>0</v>
      </c>
      <c r="G126" s="42"/>
      <c r="H126" s="42"/>
      <c r="I126" s="42"/>
      <c r="J126" s="42"/>
      <c r="K126" s="42"/>
      <c r="L126" s="55"/>
    </row>
    <row r="127" spans="1:12" ht="12.75">
      <c r="A127" s="79">
        <v>481941</v>
      </c>
      <c r="B127" s="80" t="s">
        <v>139</v>
      </c>
      <c r="C127" s="99">
        <f>5300000-600000</f>
        <v>4700000</v>
      </c>
      <c r="D127" s="104"/>
      <c r="E127" s="104">
        <f t="shared" si="2"/>
        <v>4700000</v>
      </c>
      <c r="F127" s="107">
        <f t="shared" si="3"/>
        <v>0</v>
      </c>
      <c r="G127" s="42"/>
      <c r="H127" s="42"/>
      <c r="I127" s="42"/>
      <c r="J127" s="42"/>
      <c r="K127" s="42"/>
      <c r="L127" s="55"/>
    </row>
    <row r="128" spans="1:11" ht="24">
      <c r="A128" s="78">
        <v>481991</v>
      </c>
      <c r="B128" s="75" t="s">
        <v>140</v>
      </c>
      <c r="C128" s="92">
        <v>1000000</v>
      </c>
      <c r="D128" s="93"/>
      <c r="E128" s="104">
        <f t="shared" si="2"/>
        <v>1000000</v>
      </c>
      <c r="F128" s="107">
        <f t="shared" si="3"/>
        <v>0</v>
      </c>
      <c r="G128" s="22"/>
      <c r="H128" s="22"/>
      <c r="I128" s="22"/>
      <c r="J128" s="22"/>
      <c r="K128" s="22"/>
    </row>
    <row r="129" spans="1:11" ht="24">
      <c r="A129" s="65">
        <v>482000</v>
      </c>
      <c r="B129" s="74" t="s">
        <v>41</v>
      </c>
      <c r="C129" s="90">
        <f>SUM(C130:C137)</f>
        <v>125000</v>
      </c>
      <c r="D129" s="91">
        <f>D130+D135+D136+D137+D131+D134+D133</f>
        <v>0</v>
      </c>
      <c r="E129" s="91">
        <f>C129-D129</f>
        <v>125000</v>
      </c>
      <c r="F129" s="90">
        <f t="shared" si="3"/>
        <v>0</v>
      </c>
      <c r="G129" s="42"/>
      <c r="H129" s="42"/>
      <c r="I129" s="42"/>
      <c r="J129" s="42"/>
      <c r="K129" s="42"/>
    </row>
    <row r="130" spans="1:11" ht="12.75">
      <c r="A130" s="67">
        <v>482191</v>
      </c>
      <c r="B130" s="68" t="s">
        <v>42</v>
      </c>
      <c r="C130" s="92">
        <v>0</v>
      </c>
      <c r="D130" s="93"/>
      <c r="E130" s="104">
        <f t="shared" si="2"/>
        <v>0</v>
      </c>
      <c r="F130" s="107" t="e">
        <f t="shared" si="3"/>
        <v>#DIV/0!</v>
      </c>
      <c r="G130" s="22"/>
      <c r="H130" s="22"/>
      <c r="I130" s="22"/>
      <c r="J130" s="22"/>
      <c r="K130" s="22"/>
    </row>
    <row r="131" spans="1:11" ht="12.75">
      <c r="A131" s="67">
        <v>482131</v>
      </c>
      <c r="B131" s="68" t="s">
        <v>159</v>
      </c>
      <c r="C131" s="92">
        <v>50000</v>
      </c>
      <c r="D131" s="93"/>
      <c r="E131" s="104">
        <f>C131-D131</f>
        <v>50000</v>
      </c>
      <c r="F131" s="107">
        <f t="shared" si="3"/>
        <v>0</v>
      </c>
      <c r="G131" s="22"/>
      <c r="H131" s="22"/>
      <c r="I131" s="22"/>
      <c r="J131" s="22"/>
      <c r="K131" s="22"/>
    </row>
    <row r="132" spans="1:11" ht="12.75">
      <c r="A132" s="67">
        <v>482191</v>
      </c>
      <c r="B132" s="68" t="s">
        <v>42</v>
      </c>
      <c r="C132" s="92">
        <v>0</v>
      </c>
      <c r="D132" s="93"/>
      <c r="E132" s="104">
        <f>C132-D132</f>
        <v>0</v>
      </c>
      <c r="F132" s="107">
        <v>0</v>
      </c>
      <c r="G132" s="22"/>
      <c r="H132" s="22"/>
      <c r="I132" s="22"/>
      <c r="J132" s="22"/>
      <c r="K132" s="22"/>
    </row>
    <row r="133" spans="1:11" ht="12.75">
      <c r="A133" s="67">
        <v>482211</v>
      </c>
      <c r="B133" s="68" t="s">
        <v>163</v>
      </c>
      <c r="C133" s="92">
        <v>15000</v>
      </c>
      <c r="D133" s="93"/>
      <c r="E133" s="104">
        <f>C133-D133</f>
        <v>15000</v>
      </c>
      <c r="F133" s="107">
        <f t="shared" si="3"/>
        <v>0</v>
      </c>
      <c r="G133" s="22"/>
      <c r="H133" s="22"/>
      <c r="I133" s="22"/>
      <c r="J133" s="22"/>
      <c r="K133" s="22"/>
    </row>
    <row r="134" spans="1:11" ht="12.75">
      <c r="A134" s="67">
        <v>482231</v>
      </c>
      <c r="B134" s="68" t="s">
        <v>183</v>
      </c>
      <c r="C134" s="92">
        <v>10000</v>
      </c>
      <c r="D134" s="93"/>
      <c r="E134" s="104">
        <f>C134-D134</f>
        <v>10000</v>
      </c>
      <c r="F134" s="107">
        <f t="shared" si="3"/>
        <v>0</v>
      </c>
      <c r="G134" s="22"/>
      <c r="H134" s="22"/>
      <c r="I134" s="22"/>
      <c r="J134" s="22"/>
      <c r="K134" s="22"/>
    </row>
    <row r="135" spans="1:11" ht="12.75">
      <c r="A135" s="67">
        <v>482251</v>
      </c>
      <c r="B135" s="68" t="s">
        <v>141</v>
      </c>
      <c r="C135" s="92">
        <v>50000</v>
      </c>
      <c r="D135" s="93"/>
      <c r="E135" s="104">
        <f t="shared" si="2"/>
        <v>50000</v>
      </c>
      <c r="F135" s="107">
        <f t="shared" si="3"/>
        <v>0</v>
      </c>
      <c r="G135" s="22"/>
      <c r="H135" s="22"/>
      <c r="I135" s="22"/>
      <c r="J135" s="22"/>
      <c r="K135" s="22"/>
    </row>
    <row r="136" spans="1:11" ht="24">
      <c r="A136" s="67">
        <v>482300</v>
      </c>
      <c r="B136" s="73" t="s">
        <v>43</v>
      </c>
      <c r="C136" s="92">
        <v>0</v>
      </c>
      <c r="D136" s="93"/>
      <c r="E136" s="104">
        <f t="shared" si="2"/>
        <v>0</v>
      </c>
      <c r="F136" s="107">
        <v>0</v>
      </c>
      <c r="G136" s="22"/>
      <c r="H136" s="22"/>
      <c r="I136" s="22"/>
      <c r="J136" s="22"/>
      <c r="K136" s="22"/>
    </row>
    <row r="137" spans="1:11" ht="12.75">
      <c r="A137" s="67"/>
      <c r="B137" s="73"/>
      <c r="C137" s="92">
        <v>0</v>
      </c>
      <c r="D137" s="93"/>
      <c r="E137" s="104">
        <f t="shared" si="2"/>
        <v>0</v>
      </c>
      <c r="F137" s="107">
        <v>0</v>
      </c>
      <c r="G137" s="22">
        <v>0</v>
      </c>
      <c r="H137" s="22"/>
      <c r="I137" s="22"/>
      <c r="J137" s="22"/>
      <c r="K137" s="22"/>
    </row>
    <row r="138" spans="1:11" ht="24">
      <c r="A138" s="76">
        <v>483000</v>
      </c>
      <c r="B138" s="77" t="s">
        <v>81</v>
      </c>
      <c r="C138" s="103">
        <f>C139</f>
        <v>0</v>
      </c>
      <c r="D138" s="101">
        <f>D139</f>
        <v>0</v>
      </c>
      <c r="E138" s="91">
        <f t="shared" si="2"/>
        <v>0</v>
      </c>
      <c r="F138" s="90" t="e">
        <f t="shared" si="3"/>
        <v>#DIV/0!</v>
      </c>
      <c r="G138" s="45"/>
      <c r="H138" s="42"/>
      <c r="I138" s="42"/>
      <c r="J138" s="42"/>
      <c r="K138" s="42"/>
    </row>
    <row r="139" spans="1:11" ht="12.75">
      <c r="A139" s="67">
        <v>483111</v>
      </c>
      <c r="B139" s="80" t="s">
        <v>142</v>
      </c>
      <c r="C139" s="92">
        <v>0</v>
      </c>
      <c r="D139" s="92"/>
      <c r="E139" s="104">
        <f t="shared" si="2"/>
        <v>0</v>
      </c>
      <c r="F139" s="107" t="e">
        <f t="shared" si="3"/>
        <v>#DIV/0!</v>
      </c>
      <c r="G139" s="40"/>
      <c r="H139" s="22"/>
      <c r="I139" s="22"/>
      <c r="J139" s="22"/>
      <c r="K139" s="22"/>
    </row>
    <row r="140" spans="1:11" ht="24">
      <c r="A140" s="81">
        <v>485000</v>
      </c>
      <c r="B140" s="110" t="s">
        <v>176</v>
      </c>
      <c r="C140" s="103">
        <f>C141</f>
        <v>0</v>
      </c>
      <c r="D140" s="103">
        <f>D141</f>
        <v>0</v>
      </c>
      <c r="E140" s="102">
        <f>E141</f>
        <v>0</v>
      </c>
      <c r="F140" s="103" t="e">
        <f t="shared" si="3"/>
        <v>#DIV/0!</v>
      </c>
      <c r="G140" s="40"/>
      <c r="H140" s="22"/>
      <c r="I140" s="22"/>
      <c r="J140" s="22"/>
      <c r="K140" s="22"/>
    </row>
    <row r="141" spans="1:11" ht="12.75">
      <c r="A141" s="67">
        <v>485119</v>
      </c>
      <c r="B141" s="80" t="s">
        <v>177</v>
      </c>
      <c r="C141" s="92">
        <v>0</v>
      </c>
      <c r="D141" s="92"/>
      <c r="E141" s="104">
        <f>C141-D141</f>
        <v>0</v>
      </c>
      <c r="F141" s="107" t="e">
        <f t="shared" si="3"/>
        <v>#DIV/0!</v>
      </c>
      <c r="G141" s="40"/>
      <c r="H141" s="22"/>
      <c r="I141" s="22"/>
      <c r="J141" s="22"/>
      <c r="K141" s="22"/>
    </row>
    <row r="142" spans="1:11" ht="12.75">
      <c r="A142" s="81">
        <v>499000</v>
      </c>
      <c r="B142" s="77" t="s">
        <v>65</v>
      </c>
      <c r="C142" s="103">
        <f>C143+C144</f>
        <v>2000000</v>
      </c>
      <c r="D142" s="103">
        <f>D143+D144</f>
        <v>0</v>
      </c>
      <c r="E142" s="91">
        <f t="shared" si="2"/>
        <v>2000000</v>
      </c>
      <c r="F142" s="90">
        <f t="shared" si="3"/>
        <v>0</v>
      </c>
      <c r="G142" s="42"/>
      <c r="H142" s="42"/>
      <c r="I142" s="42"/>
      <c r="J142" s="42"/>
      <c r="K142" s="42"/>
    </row>
    <row r="143" spans="1:11" ht="12.75">
      <c r="A143" s="82">
        <v>499111</v>
      </c>
      <c r="B143" s="80" t="s">
        <v>143</v>
      </c>
      <c r="C143" s="99">
        <v>200000</v>
      </c>
      <c r="D143" s="104"/>
      <c r="E143" s="104">
        <f t="shared" si="2"/>
        <v>200000</v>
      </c>
      <c r="F143" s="107">
        <f t="shared" si="3"/>
        <v>0</v>
      </c>
      <c r="G143" s="42"/>
      <c r="H143" s="42"/>
      <c r="I143" s="42"/>
      <c r="J143" s="42"/>
      <c r="K143" s="42"/>
    </row>
    <row r="144" spans="1:11" ht="12.75">
      <c r="A144" s="67">
        <v>499121</v>
      </c>
      <c r="B144" s="73" t="s">
        <v>144</v>
      </c>
      <c r="C144" s="92">
        <v>1800000</v>
      </c>
      <c r="D144" s="104"/>
      <c r="E144" s="104">
        <f t="shared" si="2"/>
        <v>1800000</v>
      </c>
      <c r="F144" s="107">
        <f t="shared" si="3"/>
        <v>0</v>
      </c>
      <c r="G144" s="22"/>
      <c r="H144" s="22"/>
      <c r="I144" s="22"/>
      <c r="J144" s="22"/>
      <c r="K144" s="22"/>
    </row>
    <row r="145" spans="1:11" ht="12.75">
      <c r="A145" s="65">
        <v>511000</v>
      </c>
      <c r="B145" s="66" t="s">
        <v>44</v>
      </c>
      <c r="C145" s="90">
        <f>SUM(C146:C158)</f>
        <v>138531474</v>
      </c>
      <c r="D145" s="90">
        <f>SUM(D146:D158)</f>
        <v>0</v>
      </c>
      <c r="E145" s="91">
        <f t="shared" si="2"/>
        <v>138531474</v>
      </c>
      <c r="F145" s="90">
        <f>(D145*100)/C145</f>
        <v>0</v>
      </c>
      <c r="G145" s="42"/>
      <c r="H145" s="42"/>
      <c r="I145" s="42"/>
      <c r="J145" s="42"/>
      <c r="K145" s="42"/>
    </row>
    <row r="146" spans="1:11" ht="12.75">
      <c r="A146" s="67">
        <v>511100</v>
      </c>
      <c r="B146" s="68" t="s">
        <v>45</v>
      </c>
      <c r="C146" s="92">
        <v>0</v>
      </c>
      <c r="D146" s="93"/>
      <c r="E146" s="104">
        <f t="shared" si="2"/>
        <v>0</v>
      </c>
      <c r="F146" s="107">
        <v>0</v>
      </c>
      <c r="G146" s="22"/>
      <c r="H146" s="22"/>
      <c r="I146" s="22"/>
      <c r="J146" s="22"/>
      <c r="K146" s="22"/>
    </row>
    <row r="147" spans="1:11" ht="12.75">
      <c r="A147" s="67">
        <v>511241</v>
      </c>
      <c r="B147" s="68" t="s">
        <v>146</v>
      </c>
      <c r="C147" s="92">
        <v>0</v>
      </c>
      <c r="D147" s="93"/>
      <c r="E147" s="104">
        <f t="shared" si="2"/>
        <v>0</v>
      </c>
      <c r="F147" s="107">
        <v>0</v>
      </c>
      <c r="G147" s="40"/>
      <c r="H147" s="22"/>
      <c r="I147" s="22"/>
      <c r="J147" s="22"/>
      <c r="K147" s="22"/>
    </row>
    <row r="148" spans="1:11" ht="12.75">
      <c r="A148" s="67">
        <v>511242</v>
      </c>
      <c r="B148" s="68" t="s">
        <v>147</v>
      </c>
      <c r="C148" s="92">
        <v>1944893</v>
      </c>
      <c r="D148" s="93"/>
      <c r="E148" s="104">
        <f t="shared" si="2"/>
        <v>1944893</v>
      </c>
      <c r="F148" s="107">
        <f t="shared" si="3"/>
        <v>0</v>
      </c>
      <c r="G148" s="40"/>
      <c r="H148" s="22"/>
      <c r="I148" s="22"/>
      <c r="J148" s="22"/>
      <c r="K148" s="22"/>
    </row>
    <row r="149" spans="1:11" ht="12.75">
      <c r="A149" s="67">
        <v>511291</v>
      </c>
      <c r="B149" s="68" t="s">
        <v>148</v>
      </c>
      <c r="C149" s="92">
        <f>162252+872023+11123720+3014764+9667746+2522+1412+40000000</f>
        <v>64844439</v>
      </c>
      <c r="D149" s="93"/>
      <c r="E149" s="104">
        <f t="shared" si="2"/>
        <v>64844439</v>
      </c>
      <c r="F149" s="107">
        <f t="shared" si="3"/>
        <v>0</v>
      </c>
      <c r="G149" s="40"/>
      <c r="H149" s="22"/>
      <c r="I149" s="22"/>
      <c r="J149" s="22"/>
      <c r="K149" s="22"/>
    </row>
    <row r="150" spans="1:11" ht="12.75">
      <c r="A150" s="67">
        <v>511292</v>
      </c>
      <c r="B150" s="68" t="s">
        <v>180</v>
      </c>
      <c r="C150" s="92">
        <v>0</v>
      </c>
      <c r="D150" s="93"/>
      <c r="E150" s="104">
        <f t="shared" si="2"/>
        <v>0</v>
      </c>
      <c r="F150" s="107" t="e">
        <f t="shared" si="3"/>
        <v>#DIV/0!</v>
      </c>
      <c r="G150" s="40"/>
      <c r="H150" s="22"/>
      <c r="I150" s="22"/>
      <c r="J150" s="22"/>
      <c r="K150" s="22"/>
    </row>
    <row r="151" spans="1:11" ht="12.75">
      <c r="A151" s="67">
        <v>511299</v>
      </c>
      <c r="B151" s="68" t="s">
        <v>195</v>
      </c>
      <c r="C151" s="92">
        <f>15000000+46691542</f>
        <v>61691542</v>
      </c>
      <c r="D151" s="93"/>
      <c r="E151" s="104"/>
      <c r="F151" s="107"/>
      <c r="G151" s="40"/>
      <c r="H151" s="22"/>
      <c r="I151" s="22"/>
      <c r="J151" s="22"/>
      <c r="K151" s="22"/>
    </row>
    <row r="152" spans="1:12" ht="12.75">
      <c r="A152" s="67">
        <v>511319</v>
      </c>
      <c r="B152" s="68" t="s">
        <v>145</v>
      </c>
      <c r="C152" s="92">
        <v>0</v>
      </c>
      <c r="D152" s="93"/>
      <c r="E152" s="104">
        <f aca="true" t="shared" si="4" ref="E152:E157">C152-D152</f>
        <v>0</v>
      </c>
      <c r="F152" s="107" t="e">
        <f t="shared" si="3"/>
        <v>#DIV/0!</v>
      </c>
      <c r="G152" s="25"/>
      <c r="H152" s="22"/>
      <c r="I152" s="22"/>
      <c r="J152" s="22"/>
      <c r="K152" s="22"/>
      <c r="L152" s="5"/>
    </row>
    <row r="153" spans="1:12" ht="24">
      <c r="A153" s="67">
        <v>511321</v>
      </c>
      <c r="B153" s="75" t="s">
        <v>175</v>
      </c>
      <c r="C153" s="92">
        <v>0</v>
      </c>
      <c r="D153" s="93"/>
      <c r="E153" s="104">
        <f t="shared" si="4"/>
        <v>0</v>
      </c>
      <c r="F153" s="107">
        <v>0</v>
      </c>
      <c r="G153" s="25"/>
      <c r="H153" s="22"/>
      <c r="I153" s="22"/>
      <c r="J153" s="22"/>
      <c r="K153" s="22"/>
      <c r="L153" s="5"/>
    </row>
    <row r="154" spans="1:12" ht="12.75">
      <c r="A154" s="67">
        <v>511331</v>
      </c>
      <c r="B154" s="75" t="s">
        <v>181</v>
      </c>
      <c r="C154" s="92">
        <v>0</v>
      </c>
      <c r="D154" s="93"/>
      <c r="E154" s="104">
        <f t="shared" si="4"/>
        <v>0</v>
      </c>
      <c r="F154" s="107">
        <v>0</v>
      </c>
      <c r="G154" s="25"/>
      <c r="H154" s="22"/>
      <c r="I154" s="22"/>
      <c r="J154" s="22"/>
      <c r="K154" s="22"/>
      <c r="L154" s="5"/>
    </row>
    <row r="155" spans="1:12" ht="24">
      <c r="A155" s="69">
        <v>511393</v>
      </c>
      <c r="B155" s="75" t="s">
        <v>161</v>
      </c>
      <c r="C155" s="109">
        <f>7860600</f>
        <v>7860600</v>
      </c>
      <c r="D155" s="93"/>
      <c r="E155" s="104">
        <f t="shared" si="4"/>
        <v>7860600</v>
      </c>
      <c r="F155" s="107">
        <f aca="true" t="shared" si="5" ref="F155:F174">(D155*100)/C155</f>
        <v>0</v>
      </c>
      <c r="G155" s="25"/>
      <c r="H155" s="22"/>
      <c r="I155" s="22"/>
      <c r="J155" s="22"/>
      <c r="K155" s="22"/>
      <c r="L155" s="5"/>
    </row>
    <row r="156" spans="1:12" ht="12.75">
      <c r="A156" s="69">
        <v>511399</v>
      </c>
      <c r="B156" s="75" t="s">
        <v>178</v>
      </c>
      <c r="C156" s="109">
        <v>0</v>
      </c>
      <c r="D156" s="93"/>
      <c r="E156" s="104">
        <f t="shared" si="4"/>
        <v>0</v>
      </c>
      <c r="F156" s="107" t="e">
        <f t="shared" si="5"/>
        <v>#DIV/0!</v>
      </c>
      <c r="G156" s="25"/>
      <c r="H156" s="22"/>
      <c r="I156" s="22"/>
      <c r="J156" s="22"/>
      <c r="K156" s="22"/>
      <c r="L156" s="5"/>
    </row>
    <row r="157" spans="1:12" ht="12.75">
      <c r="A157" s="69">
        <v>511441</v>
      </c>
      <c r="B157" s="75" t="s">
        <v>179</v>
      </c>
      <c r="C157" s="109">
        <v>0</v>
      </c>
      <c r="D157" s="93"/>
      <c r="E157" s="104">
        <f t="shared" si="4"/>
        <v>0</v>
      </c>
      <c r="F157" s="107" t="e">
        <f t="shared" si="5"/>
        <v>#DIV/0!</v>
      </c>
      <c r="G157" s="25"/>
      <c r="H157" s="22"/>
      <c r="I157" s="22"/>
      <c r="J157" s="22"/>
      <c r="K157" s="22"/>
      <c r="L157" s="5"/>
    </row>
    <row r="158" spans="1:11" ht="12.75">
      <c r="A158" s="67">
        <v>511451</v>
      </c>
      <c r="B158" s="68" t="s">
        <v>162</v>
      </c>
      <c r="C158" s="92">
        <f>2190000</f>
        <v>2190000</v>
      </c>
      <c r="D158" s="93"/>
      <c r="E158" s="104">
        <f aca="true" t="shared" si="6" ref="E158:E179">C158-D158</f>
        <v>2190000</v>
      </c>
      <c r="F158" s="107">
        <f t="shared" si="5"/>
        <v>0</v>
      </c>
      <c r="G158" s="25"/>
      <c r="H158" s="22"/>
      <c r="I158" s="22"/>
      <c r="J158" s="22"/>
      <c r="K158" s="22"/>
    </row>
    <row r="159" spans="1:11" ht="12.75">
      <c r="A159" s="65">
        <v>512000</v>
      </c>
      <c r="B159" s="66" t="s">
        <v>46</v>
      </c>
      <c r="C159" s="90">
        <f>SUM(C160:C172)</f>
        <v>1688745</v>
      </c>
      <c r="D159" s="90">
        <f>SUM(D160:D172)</f>
        <v>0</v>
      </c>
      <c r="E159" s="91">
        <f t="shared" si="6"/>
        <v>1688745</v>
      </c>
      <c r="F159" s="103">
        <f t="shared" si="5"/>
        <v>0</v>
      </c>
      <c r="G159" s="42"/>
      <c r="H159" s="42"/>
      <c r="I159" s="45">
        <f>SUM(I160:I172)</f>
        <v>0</v>
      </c>
      <c r="J159" s="45">
        <f>SUM(J160:J172)</f>
        <v>0</v>
      </c>
      <c r="K159" s="45">
        <f>SUM(K160:K172)</f>
        <v>0</v>
      </c>
    </row>
    <row r="160" spans="1:11" ht="12.75">
      <c r="A160" s="67">
        <v>512100</v>
      </c>
      <c r="B160" s="68" t="s">
        <v>47</v>
      </c>
      <c r="C160" s="92">
        <v>0</v>
      </c>
      <c r="D160" s="93"/>
      <c r="E160" s="104">
        <f t="shared" si="6"/>
        <v>0</v>
      </c>
      <c r="F160" s="107">
        <v>0</v>
      </c>
      <c r="G160" s="22"/>
      <c r="H160" s="22"/>
      <c r="I160" s="22"/>
      <c r="J160" s="22"/>
      <c r="K160" s="22"/>
    </row>
    <row r="161" spans="1:11" ht="12.75">
      <c r="A161" s="67">
        <v>512211</v>
      </c>
      <c r="B161" s="68" t="s">
        <v>168</v>
      </c>
      <c r="C161" s="92">
        <f>15190+33060+13140+7240+14760</f>
        <v>83390</v>
      </c>
      <c r="D161" s="93"/>
      <c r="E161" s="104"/>
      <c r="F161" s="107">
        <f t="shared" si="5"/>
        <v>0</v>
      </c>
      <c r="G161" s="22"/>
      <c r="H161" s="22"/>
      <c r="I161" s="40"/>
      <c r="J161" s="22"/>
      <c r="K161" s="22"/>
    </row>
    <row r="162" spans="1:11" ht="12.75">
      <c r="A162" s="67">
        <v>512221</v>
      </c>
      <c r="B162" s="68" t="s">
        <v>120</v>
      </c>
      <c r="C162" s="92">
        <v>0</v>
      </c>
      <c r="D162" s="93"/>
      <c r="E162" s="104"/>
      <c r="F162" s="107" t="e">
        <f t="shared" si="5"/>
        <v>#DIV/0!</v>
      </c>
      <c r="G162" s="22"/>
      <c r="H162" s="22"/>
      <c r="I162" s="40"/>
      <c r="J162" s="22"/>
      <c r="K162" s="22"/>
    </row>
    <row r="163" spans="1:11" ht="12.75">
      <c r="A163" s="67">
        <v>512241</v>
      </c>
      <c r="B163" s="68" t="s">
        <v>192</v>
      </c>
      <c r="C163" s="92">
        <v>454000</v>
      </c>
      <c r="D163" s="93"/>
      <c r="E163" s="104"/>
      <c r="F163" s="107">
        <f t="shared" si="5"/>
        <v>0</v>
      </c>
      <c r="G163" s="22"/>
      <c r="H163" s="22"/>
      <c r="I163" s="40"/>
      <c r="J163" s="22"/>
      <c r="K163" s="22"/>
    </row>
    <row r="164" spans="1:11" ht="12.75">
      <c r="A164" s="67">
        <v>512242</v>
      </c>
      <c r="B164" s="68" t="s">
        <v>193</v>
      </c>
      <c r="C164" s="92">
        <v>325584</v>
      </c>
      <c r="D164" s="93"/>
      <c r="E164" s="104"/>
      <c r="F164" s="107">
        <f t="shared" si="5"/>
        <v>0</v>
      </c>
      <c r="G164" s="22"/>
      <c r="H164" s="22"/>
      <c r="I164" s="40"/>
      <c r="J164" s="22"/>
      <c r="K164" s="22"/>
    </row>
    <row r="165" spans="1:11" ht="12.75">
      <c r="A165" s="67">
        <v>512251</v>
      </c>
      <c r="B165" s="68" t="s">
        <v>169</v>
      </c>
      <c r="C165" s="92">
        <f>31433+103980+11780+29990+168588</f>
        <v>345771</v>
      </c>
      <c r="D165" s="93"/>
      <c r="E165" s="104">
        <f t="shared" si="6"/>
        <v>345771</v>
      </c>
      <c r="F165" s="107">
        <v>0</v>
      </c>
      <c r="G165" s="22"/>
      <c r="H165" s="22"/>
      <c r="I165" s="40"/>
      <c r="J165" s="22"/>
      <c r="K165" s="22"/>
    </row>
    <row r="166" spans="1:13" ht="12.75">
      <c r="A166" s="67">
        <v>512311</v>
      </c>
      <c r="B166" s="68" t="s">
        <v>48</v>
      </c>
      <c r="C166" s="92">
        <v>0</v>
      </c>
      <c r="D166" s="93"/>
      <c r="E166" s="104"/>
      <c r="F166" s="107" t="e">
        <f t="shared" si="5"/>
        <v>#DIV/0!</v>
      </c>
      <c r="G166" s="22"/>
      <c r="H166" s="22"/>
      <c r="I166" s="22"/>
      <c r="J166" s="22"/>
      <c r="K166" s="22"/>
      <c r="M166" s="5"/>
    </row>
    <row r="167" spans="1:14" ht="12.75">
      <c r="A167" s="67">
        <v>512400</v>
      </c>
      <c r="B167" s="68" t="s">
        <v>49</v>
      </c>
      <c r="C167" s="92">
        <v>0</v>
      </c>
      <c r="D167" s="93"/>
      <c r="E167" s="104">
        <f t="shared" si="6"/>
        <v>0</v>
      </c>
      <c r="F167" s="107">
        <v>0</v>
      </c>
      <c r="G167" s="22"/>
      <c r="H167" s="22"/>
      <c r="I167" s="22"/>
      <c r="J167" s="22"/>
      <c r="K167" s="22"/>
      <c r="N167" s="5"/>
    </row>
    <row r="168" spans="1:11" ht="12.75">
      <c r="A168" s="67">
        <v>512500</v>
      </c>
      <c r="B168" s="68" t="s">
        <v>50</v>
      </c>
      <c r="C168" s="92">
        <v>0</v>
      </c>
      <c r="D168" s="93"/>
      <c r="E168" s="104">
        <f t="shared" si="6"/>
        <v>0</v>
      </c>
      <c r="F168" s="107">
        <v>0</v>
      </c>
      <c r="G168" s="22"/>
      <c r="H168" s="22"/>
      <c r="I168" s="22"/>
      <c r="J168" s="22"/>
      <c r="K168" s="22"/>
    </row>
    <row r="169" spans="1:14" ht="12.75">
      <c r="A169" s="67">
        <v>512600</v>
      </c>
      <c r="B169" s="68" t="s">
        <v>51</v>
      </c>
      <c r="C169" s="92">
        <v>0</v>
      </c>
      <c r="D169" s="93"/>
      <c r="E169" s="104">
        <f t="shared" si="6"/>
        <v>0</v>
      </c>
      <c r="F169" s="107">
        <v>0</v>
      </c>
      <c r="G169" s="22"/>
      <c r="H169" s="22"/>
      <c r="I169" s="22"/>
      <c r="J169" s="22"/>
      <c r="K169" s="22"/>
      <c r="N169" s="5"/>
    </row>
    <row r="170" spans="1:11" ht="12.75">
      <c r="A170" s="67">
        <v>512700</v>
      </c>
      <c r="B170" s="68" t="s">
        <v>52</v>
      </c>
      <c r="C170" s="92">
        <v>0</v>
      </c>
      <c r="D170" s="93"/>
      <c r="E170" s="104">
        <f t="shared" si="6"/>
        <v>0</v>
      </c>
      <c r="F170" s="107">
        <v>0</v>
      </c>
      <c r="G170" s="22"/>
      <c r="H170" s="22"/>
      <c r="I170" s="22"/>
      <c r="J170" s="22"/>
      <c r="K170" s="22"/>
    </row>
    <row r="171" spans="1:11" ht="12.75">
      <c r="A171" s="67">
        <v>512800</v>
      </c>
      <c r="B171" s="68" t="s">
        <v>53</v>
      </c>
      <c r="C171" s="92">
        <v>0</v>
      </c>
      <c r="D171" s="93"/>
      <c r="E171" s="104">
        <f t="shared" si="6"/>
        <v>0</v>
      </c>
      <c r="F171" s="107">
        <v>0</v>
      </c>
      <c r="G171" s="22"/>
      <c r="H171" s="22"/>
      <c r="I171" s="22"/>
      <c r="J171" s="22"/>
      <c r="K171" s="22"/>
    </row>
    <row r="172" spans="1:11" ht="12.75">
      <c r="A172" s="67">
        <v>512932</v>
      </c>
      <c r="B172" s="72" t="s">
        <v>191</v>
      </c>
      <c r="C172" s="92">
        <f>480000</f>
        <v>480000</v>
      </c>
      <c r="D172" s="93"/>
      <c r="E172" s="104">
        <f t="shared" si="6"/>
        <v>480000</v>
      </c>
      <c r="F172" s="107">
        <v>0</v>
      </c>
      <c r="G172" s="22"/>
      <c r="H172" s="22"/>
      <c r="I172" s="22"/>
      <c r="J172" s="22"/>
      <c r="K172" s="22"/>
    </row>
    <row r="173" spans="1:11" ht="12.75">
      <c r="A173" s="65">
        <v>515000</v>
      </c>
      <c r="B173" s="66" t="s">
        <v>54</v>
      </c>
      <c r="C173" s="90">
        <f>C174</f>
        <v>1080000</v>
      </c>
      <c r="D173" s="90">
        <f>D174</f>
        <v>0</v>
      </c>
      <c r="E173" s="91">
        <f t="shared" si="6"/>
        <v>1080000</v>
      </c>
      <c r="F173" s="103">
        <f t="shared" si="5"/>
        <v>0</v>
      </c>
      <c r="G173" s="42"/>
      <c r="H173" s="42"/>
      <c r="I173" s="42"/>
      <c r="J173" s="42"/>
      <c r="K173" s="42"/>
    </row>
    <row r="174" spans="1:11" ht="12.75">
      <c r="A174" s="67">
        <v>515124</v>
      </c>
      <c r="B174" s="68" t="s">
        <v>194</v>
      </c>
      <c r="C174" s="92">
        <f>1080000</f>
        <v>1080000</v>
      </c>
      <c r="D174" s="93"/>
      <c r="E174" s="104">
        <f t="shared" si="6"/>
        <v>1080000</v>
      </c>
      <c r="F174" s="107">
        <f t="shared" si="5"/>
        <v>0</v>
      </c>
      <c r="G174" s="22"/>
      <c r="H174" s="22"/>
      <c r="I174" s="22"/>
      <c r="J174" s="22"/>
      <c r="K174" s="22"/>
    </row>
    <row r="175" spans="1:11" ht="12.75">
      <c r="A175" s="83">
        <v>541000</v>
      </c>
      <c r="B175" s="84" t="s">
        <v>55</v>
      </c>
      <c r="C175" s="90">
        <f>C176</f>
        <v>0</v>
      </c>
      <c r="D175" s="90">
        <f>D176</f>
        <v>0</v>
      </c>
      <c r="E175" s="91">
        <f t="shared" si="6"/>
        <v>0</v>
      </c>
      <c r="F175" s="90">
        <v>0</v>
      </c>
      <c r="G175" s="42"/>
      <c r="H175" s="42"/>
      <c r="I175" s="42"/>
      <c r="J175" s="42"/>
      <c r="K175" s="42"/>
    </row>
    <row r="176" spans="1:14" s="8" customFormat="1" ht="12.75">
      <c r="A176" s="85">
        <v>541100</v>
      </c>
      <c r="B176" s="86" t="s">
        <v>55</v>
      </c>
      <c r="C176" s="105">
        <v>0</v>
      </c>
      <c r="D176" s="93"/>
      <c r="E176" s="104">
        <f t="shared" si="6"/>
        <v>0</v>
      </c>
      <c r="F176" s="107">
        <v>0</v>
      </c>
      <c r="G176" s="44"/>
      <c r="H176" s="44"/>
      <c r="I176" s="22"/>
      <c r="J176" s="44"/>
      <c r="K176" s="44"/>
      <c r="N176" s="15">
        <v>139942780</v>
      </c>
    </row>
    <row r="177" spans="1:14" ht="12.75">
      <c r="A177" s="83">
        <v>543000</v>
      </c>
      <c r="B177" s="84" t="s">
        <v>56</v>
      </c>
      <c r="C177" s="90">
        <f>C178</f>
        <v>0</v>
      </c>
      <c r="D177" s="90">
        <f>D178</f>
        <v>0</v>
      </c>
      <c r="E177" s="91">
        <f t="shared" si="6"/>
        <v>0</v>
      </c>
      <c r="F177" s="90">
        <v>0</v>
      </c>
      <c r="G177" s="42"/>
      <c r="H177" s="42"/>
      <c r="I177" s="42"/>
      <c r="J177" s="42"/>
      <c r="K177" s="42"/>
      <c r="N177" s="18">
        <v>292410</v>
      </c>
    </row>
    <row r="178" spans="1:14" ht="12.75">
      <c r="A178" s="67">
        <v>543100</v>
      </c>
      <c r="B178" s="68" t="s">
        <v>57</v>
      </c>
      <c r="C178" s="92">
        <v>0</v>
      </c>
      <c r="D178" s="93"/>
      <c r="E178" s="104">
        <f t="shared" si="6"/>
        <v>0</v>
      </c>
      <c r="F178" s="107">
        <v>0</v>
      </c>
      <c r="G178" s="22"/>
      <c r="H178" s="22"/>
      <c r="I178" s="22"/>
      <c r="J178" s="22"/>
      <c r="K178" s="22"/>
      <c r="N178" s="18">
        <f>N176-N177</f>
        <v>139650370</v>
      </c>
    </row>
    <row r="179" spans="1:15" ht="13.5" customHeight="1">
      <c r="A179" s="115" t="s">
        <v>58</v>
      </c>
      <c r="B179" s="116"/>
      <c r="C179" s="106">
        <f>C4+C6+C10+C12+C17+C21+C39+C44+C64+C73+C94+C111+C114+C124+C129+C138+C142+C145+C159+C173+C175+C177+C19+C140</f>
        <v>212989414</v>
      </c>
      <c r="D179" s="106">
        <f>D177+D175+D173+D159+D145+D142+D129+D124+D114+D111+D94+D73+D64+D44+D39+D21+D19+D17+D12+D10+D6+D4+D138+D140</f>
        <v>0</v>
      </c>
      <c r="E179" s="91">
        <f t="shared" si="6"/>
        <v>212989414</v>
      </c>
      <c r="F179" s="90">
        <f>(D179*100)/C179</f>
        <v>0</v>
      </c>
      <c r="G179" s="42"/>
      <c r="H179" s="42">
        <f>H4+H6+H10+H12+H17+H19+H21+H39+H44+H64+H73+H94+H114+H129+H145+H159+H173+H175+H177+H142</f>
        <v>50212</v>
      </c>
      <c r="I179" s="42">
        <f>I4+I6+I10+I12+I17+I19+I21+I39+I44+I64+I73+I94+I114+I129+I145+I159+I173+I175+I177+I142</f>
        <v>30314</v>
      </c>
      <c r="J179" s="42">
        <f>J4+J6+J10+J12+J17+J19+J21+J39+J44+J64+J73+J94+J114+J129+J145+J159+J173+J175+J177+J142</f>
        <v>0</v>
      </c>
      <c r="K179" s="42">
        <f>K4+K6+K10+K12+K17+K19+K21+K39+K44+K64+K73+K94+K114+K129+K145+K159+K173+K175+K177+K142</f>
        <v>0</v>
      </c>
      <c r="N179" s="18">
        <v>4297745</v>
      </c>
      <c r="O179" s="16" t="s">
        <v>70</v>
      </c>
    </row>
    <row r="180" spans="1:15" ht="15.75" customHeight="1">
      <c r="A180" s="9"/>
      <c r="B180" s="10"/>
      <c r="C180" s="10"/>
      <c r="D180" s="10"/>
      <c r="E180" s="10"/>
      <c r="F180" s="10"/>
      <c r="N180" s="18">
        <v>300000</v>
      </c>
      <c r="O180" s="16" t="s">
        <v>69</v>
      </c>
    </row>
    <row r="181" spans="1:15" s="10" customFormat="1" ht="12.75">
      <c r="A181" s="29"/>
      <c r="B181" s="19" t="s">
        <v>59</v>
      </c>
      <c r="C181" s="30"/>
      <c r="D181" s="17"/>
      <c r="I181" s="52"/>
      <c r="J181" s="52"/>
      <c r="N181" s="48">
        <v>352320</v>
      </c>
      <c r="O181" s="10" t="s">
        <v>68</v>
      </c>
    </row>
    <row r="182" spans="1:14" s="10" customFormat="1" ht="12.75">
      <c r="A182" s="31" t="s">
        <v>60</v>
      </c>
      <c r="B182" s="27" t="s">
        <v>2</v>
      </c>
      <c r="C182" s="37">
        <v>0</v>
      </c>
      <c r="E182" s="17"/>
      <c r="J182" s="42"/>
      <c r="N182" s="48">
        <f>SUM(N178:N181)</f>
        <v>144600435</v>
      </c>
    </row>
    <row r="183" spans="1:14" s="10" customFormat="1" ht="12.75">
      <c r="A183" s="31" t="s">
        <v>61</v>
      </c>
      <c r="B183" s="27" t="s">
        <v>62</v>
      </c>
      <c r="C183" s="37">
        <v>0</v>
      </c>
      <c r="E183" s="17"/>
      <c r="J183" s="55"/>
      <c r="N183" s="48"/>
    </row>
    <row r="184" spans="1:14" s="10" customFormat="1" ht="12.75">
      <c r="A184" s="31" t="s">
        <v>66</v>
      </c>
      <c r="B184" s="32" t="s">
        <v>72</v>
      </c>
      <c r="C184" s="37">
        <v>0</v>
      </c>
      <c r="D184" s="52"/>
      <c r="E184" s="17"/>
      <c r="F184" s="17"/>
      <c r="G184" s="17"/>
      <c r="J184" s="52"/>
      <c r="N184" s="48">
        <v>14407945</v>
      </c>
    </row>
    <row r="185" spans="1:14" s="10" customFormat="1" ht="12.75">
      <c r="A185" s="31"/>
      <c r="B185" s="32"/>
      <c r="C185" s="37"/>
      <c r="D185" s="52"/>
      <c r="E185" s="17"/>
      <c r="F185" s="17"/>
      <c r="G185" s="17"/>
      <c r="J185" s="52"/>
      <c r="N185" s="48"/>
    </row>
    <row r="186" spans="1:14" ht="16.5" customHeight="1">
      <c r="A186" s="117" t="s">
        <v>58</v>
      </c>
      <c r="B186" s="117"/>
      <c r="C186" s="14">
        <f>C182+C183+C184+C185</f>
        <v>0</v>
      </c>
      <c r="D186" s="10"/>
      <c r="E186" s="17"/>
      <c r="F186" s="10"/>
      <c r="J186" s="18"/>
      <c r="N186" s="18">
        <f>SUM(N182:N184)</f>
        <v>159008380</v>
      </c>
    </row>
    <row r="187" spans="1:14" ht="19.5" customHeight="1">
      <c r="A187" s="12"/>
      <c r="J187" s="18"/>
      <c r="N187" s="18"/>
    </row>
    <row r="188" spans="1:2" ht="19.5" customHeight="1">
      <c r="A188" s="118" t="s">
        <v>182</v>
      </c>
      <c r="B188" s="119"/>
    </row>
    <row r="189" spans="1:6" ht="41.25" customHeight="1">
      <c r="A189" s="120" t="s">
        <v>63</v>
      </c>
      <c r="B189" s="120"/>
      <c r="C189" s="120"/>
      <c r="D189" s="20"/>
      <c r="E189" s="20"/>
      <c r="F189" s="35"/>
    </row>
    <row r="190" spans="1:6" ht="22.5" customHeight="1">
      <c r="A190" s="121" t="s">
        <v>73</v>
      </c>
      <c r="B190" s="121"/>
      <c r="C190" s="121"/>
      <c r="D190" s="20"/>
      <c r="E190" s="20"/>
      <c r="F190" s="35"/>
    </row>
    <row r="192" spans="1:10" ht="12.75">
      <c r="A192" s="114" t="s">
        <v>80</v>
      </c>
      <c r="B192" s="114"/>
      <c r="C192" s="114"/>
      <c r="J192">
        <f>159723069-159068785</f>
        <v>654284</v>
      </c>
    </row>
    <row r="194" ht="12.75">
      <c r="G194">
        <f>110498488+430314</f>
        <v>110928802</v>
      </c>
    </row>
    <row r="195" ht="12.75">
      <c r="G195">
        <v>20223199</v>
      </c>
    </row>
    <row r="196" ht="12.75">
      <c r="G196">
        <f>G194-G195</f>
        <v>90705603</v>
      </c>
    </row>
    <row r="197" spans="5:6" ht="12.75">
      <c r="E197" s="18">
        <v>90705603</v>
      </c>
      <c r="F197" s="18">
        <v>90705603</v>
      </c>
    </row>
    <row r="198" spans="5:6" ht="12.75">
      <c r="E198" s="18">
        <v>19792885</v>
      </c>
      <c r="F198">
        <v>20223199</v>
      </c>
    </row>
    <row r="199" spans="5:6" ht="12.75">
      <c r="E199" s="18">
        <f>SUM(E197:E198)</f>
        <v>110498488</v>
      </c>
      <c r="F199" s="18">
        <f>SUM(F197:F198)</f>
        <v>110928802</v>
      </c>
    </row>
  </sheetData>
  <sheetProtection/>
  <mergeCells count="7">
    <mergeCell ref="A1:F1"/>
    <mergeCell ref="A192:C192"/>
    <mergeCell ref="A179:B179"/>
    <mergeCell ref="A186:B186"/>
    <mergeCell ref="A188:B188"/>
    <mergeCell ref="A189:C189"/>
    <mergeCell ref="A190:C190"/>
  </mergeCells>
  <printOptions/>
  <pageMargins left="0.75" right="0.75" top="1" bottom="1" header="0.5" footer="0.5"/>
  <pageSetup fitToHeight="0" fitToWidth="1" horizontalDpi="600" verticalDpi="600" orientation="portrait" paperSize="9" scale="92" r:id="rId3"/>
  <rowBreaks count="3" manualBreakCount="3">
    <brk id="43" max="5" man="1"/>
    <brk id="97" max="5" man="1"/>
    <brk id="1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 Пожаревац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JPetrovic</dc:creator>
  <cp:keywords/>
  <dc:description/>
  <cp:lastModifiedBy>krstanoski serdzo</cp:lastModifiedBy>
  <cp:lastPrinted>2018-11-27T13:06:15Z</cp:lastPrinted>
  <dcterms:created xsi:type="dcterms:W3CDTF">2009-11-10T07:00:35Z</dcterms:created>
  <dcterms:modified xsi:type="dcterms:W3CDTF">2019-02-03T13:42:58Z</dcterms:modified>
  <cp:category/>
  <cp:version/>
  <cp:contentType/>
  <cp:contentStatus/>
</cp:coreProperties>
</file>